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hr\Downloads\"/>
    </mc:Choice>
  </mc:AlternateContent>
  <xr:revisionPtr revIDLastSave="0" documentId="13_ncr:1_{75946111-869D-4890-B30F-C6768971F34D}" xr6:coauthVersionLast="47" xr6:coauthVersionMax="47" xr10:uidLastSave="{00000000-0000-0000-0000-000000000000}"/>
  <bookViews>
    <workbookView xWindow="-120" yWindow="-120" windowWidth="38640" windowHeight="21120" tabRatio="886" activeTab="1" xr2:uid="{00000000-000D-0000-FFFF-FFFF00000000}"/>
  </bookViews>
  <sheets>
    <sheet name="Summary-Unit" sheetId="23" r:id="rId1"/>
    <sheet name="Salary -Dec-2024 (Full)" sheetId="2" r:id="rId2"/>
    <sheet name="Sr. GM-Tractor" sheetId="32" r:id="rId3"/>
    <sheet name="CEO-R&amp;D" sheetId="40" r:id="rId4"/>
    <sheet name="Ashfaq" sheetId="33" r:id="rId5"/>
    <sheet name="GM-Fin" sheetId="3" r:id="rId6"/>
    <sheet name="Harv" sheetId="18" r:id="rId7"/>
    <sheet name="Tractor" sheetId="16" r:id="rId8"/>
    <sheet name="Pesticide" sheetId="20" r:id="rId9"/>
    <sheet name="Fertilizer" sheetId="21" state="hidden" r:id="rId10"/>
    <sheet name="Seed" sheetId="14" r:id="rId11"/>
    <sheet name="Spare Parts" sheetId="30" r:id="rId12"/>
    <sheet name="AHC" sheetId="19" state="hidden" r:id="rId13"/>
    <sheet name="Forwading-360" sheetId="5" r:id="rId14"/>
    <sheet name="Bank Sum-360" sheetId="17" r:id="rId15"/>
    <sheet name="Forwading-801" sheetId="25" r:id="rId16"/>
    <sheet name="Bank Sum-801" sheetId="26" r:id="rId17"/>
    <sheet name="Forwading-6151" sheetId="37" r:id="rId18"/>
    <sheet name="Bank Sum-6151" sheetId="38" r:id="rId19"/>
    <sheet name="SQ-Tax Calculation" sheetId="35" r:id="rId20"/>
    <sheet name="55 Bike " sheetId="28" r:id="rId21"/>
    <sheet name="Lunch bill" sheetId="10" r:id="rId22"/>
    <sheet name="Attendance" sheetId="7" r:id="rId23"/>
  </sheets>
  <externalReferences>
    <externalReference r:id="rId24"/>
    <externalReference r:id="rId25"/>
    <externalReference r:id="rId26"/>
  </externalReferences>
  <definedNames>
    <definedName name="_xlnm._FilterDatabase" localSheetId="20" hidden="1">'55 Bike '!$A$5:$M$135</definedName>
    <definedName name="_xlnm._FilterDatabase" localSheetId="12" hidden="1">AHC!$A$7:$AH$9</definedName>
    <definedName name="_xlnm._FilterDatabase" localSheetId="4" hidden="1">Ashfaq!$A$6:$AI$9</definedName>
    <definedName name="_xlnm._FilterDatabase" localSheetId="22" hidden="1">Attendance!$A$5:$P$355</definedName>
    <definedName name="_xlnm._FilterDatabase" localSheetId="14" hidden="1">'Bank Sum-360'!$A$4:$L$65</definedName>
    <definedName name="_xlnm._FilterDatabase" localSheetId="18" hidden="1">'Bank Sum-6151'!$A$6:$K$42</definedName>
    <definedName name="_xlnm._FilterDatabase" localSheetId="16" hidden="1">'Bank Sum-801'!$A$6:$J$219</definedName>
    <definedName name="_xlnm._FilterDatabase" localSheetId="3" hidden="1">'CEO-R&amp;D'!$A$6:$AI$9</definedName>
    <definedName name="_xlnm._FilterDatabase" localSheetId="9" hidden="1">Fertilizer!$A$7:$AI$10</definedName>
    <definedName name="_xlnm._FilterDatabase" localSheetId="5" hidden="1">'GM-Fin'!$A$6:$AI$9</definedName>
    <definedName name="_xlnm._FilterDatabase" localSheetId="6" hidden="1">Harv!$A$6:$AK$89</definedName>
    <definedName name="_xlnm._FilterDatabase" localSheetId="21" hidden="1">'Lunch bill'!$A$5:$T$5</definedName>
    <definedName name="_xlnm._FilterDatabase" localSheetId="8" hidden="1">Pesticide!$A$6:$AI$87</definedName>
    <definedName name="_xlnm._FilterDatabase" localSheetId="1" hidden="1">'Salary -Dec-2024 (Full)'!$A$6:$AQ$6</definedName>
    <definedName name="_xlnm._FilterDatabase" localSheetId="10" hidden="1">Seed!$A$6:$AH$6</definedName>
    <definedName name="_xlnm._FilterDatabase" localSheetId="11" hidden="1">'Spare Parts'!$A$7:$AP$36</definedName>
    <definedName name="_xlnm._FilterDatabase" localSheetId="2" hidden="1">'Sr. GM-Tractor'!$A$6:$AI$9</definedName>
    <definedName name="_xlnm._FilterDatabase" localSheetId="7" hidden="1">Tractor!$A$6:$AI$178</definedName>
    <definedName name="_xlnm.Print_Area" localSheetId="20">'55 Bike '!$A$1:$M$157</definedName>
    <definedName name="_xlnm.Print_Area" localSheetId="12">AHC!$A$1:$AD$26</definedName>
    <definedName name="_xlnm.Print_Area" localSheetId="4">Ashfaq!$A$1:$AF$30</definedName>
    <definedName name="_xlnm.Print_Area" localSheetId="22">Attendance!$A$1:$P$391</definedName>
    <definedName name="_xlnm.Print_Area" localSheetId="14">'Bank Sum-360'!$A$1:$G$66</definedName>
    <definedName name="_xlnm.Print_Area" localSheetId="18">'Bank Sum-6151'!$A$1:$G$71</definedName>
    <definedName name="_xlnm.Print_Area" localSheetId="16">'Bank Sum-801'!$A$1:$G$223</definedName>
    <definedName name="_xlnm.Print_Area" localSheetId="3">'CEO-R&amp;D'!$A$1:$AF$30</definedName>
    <definedName name="_xlnm.Print_Area" localSheetId="9">Fertilizer!$A$1:$AE$27</definedName>
    <definedName name="_xlnm.Print_Area" localSheetId="13">'Forwading-360'!$A$1:$I$35</definedName>
    <definedName name="_xlnm.Print_Area" localSheetId="17">'Forwading-6151'!$A$1:$I$35</definedName>
    <definedName name="_xlnm.Print_Area" localSheetId="15">'Forwading-801'!$A$1:$I$35</definedName>
    <definedName name="_xlnm.Print_Area" localSheetId="5">'GM-Fin'!$A$1:$AF$29</definedName>
    <definedName name="_xlnm.Print_Area" localSheetId="6">Harv!$A$1:$AE$94</definedName>
    <definedName name="_xlnm.Print_Area" localSheetId="21">'Lunch bill'!$A$1:$J$50</definedName>
    <definedName name="_xlnm.Print_Area" localSheetId="8">Pesticide!$A$1:$AE$97</definedName>
    <definedName name="_xlnm.Print_Area" localSheetId="1">'Salary -Dec-2024 (Full)'!$A$1:$AE$392</definedName>
    <definedName name="_xlnm.Print_Area" localSheetId="10">Seed!$A$1:$AE$67</definedName>
    <definedName name="_xlnm.Print_Area" localSheetId="11">'Spare Parts'!$A$1:$AE$47</definedName>
    <definedName name="_xlnm.Print_Area" localSheetId="19">'SQ-Tax Calculation'!$B$1:$L$69</definedName>
    <definedName name="_xlnm.Print_Area" localSheetId="2">'Sr. GM-Tractor'!$A$1:$AF$30</definedName>
    <definedName name="_xlnm.Print_Area" localSheetId="0">'Summary-Unit'!$A$1:$U$39</definedName>
    <definedName name="_xlnm.Print_Area" localSheetId="7">Tractor!$A$1:$AE$189</definedName>
    <definedName name="_xlnm.Print_Titles" localSheetId="20">'55 Bike '!$5:$5</definedName>
    <definedName name="_xlnm.Print_Titles" localSheetId="12">AHC!$1:$6</definedName>
    <definedName name="_xlnm.Print_Titles" localSheetId="4">Ashfaq!$1:$6</definedName>
    <definedName name="_xlnm.Print_Titles" localSheetId="22">Attendance!$1:$5</definedName>
    <definedName name="_xlnm.Print_Titles" localSheetId="14">'Bank Sum-360'!$2:$4</definedName>
    <definedName name="_xlnm.Print_Titles" localSheetId="18">'Bank Sum-6151'!$4:$6</definedName>
    <definedName name="_xlnm.Print_Titles" localSheetId="16">'Bank Sum-801'!$4:$6</definedName>
    <definedName name="_xlnm.Print_Titles" localSheetId="3">'CEO-R&amp;D'!$1:$6</definedName>
    <definedName name="_xlnm.Print_Titles" localSheetId="9">Fertilizer!$1:$6</definedName>
    <definedName name="_xlnm.Print_Titles" localSheetId="5">'GM-Fin'!$1:$6</definedName>
    <definedName name="_xlnm.Print_Titles" localSheetId="6">Harv!$1:$6</definedName>
    <definedName name="_xlnm.Print_Titles" localSheetId="8">Pesticide!$1:$6</definedName>
    <definedName name="_xlnm.Print_Titles" localSheetId="1">'Salary -Dec-2024 (Full)'!$1:$6</definedName>
    <definedName name="_xlnm.Print_Titles" localSheetId="10">Seed!$1:$6</definedName>
    <definedName name="_xlnm.Print_Titles" localSheetId="11">'Spare Parts'!$1:$6</definedName>
    <definedName name="_xlnm.Print_Titles" localSheetId="2">'Sr. GM-Tractor'!$1:$6</definedName>
    <definedName name="_xlnm.Print_Titles" localSheetId="7">Tractor!$1:$6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/>
  <c r="A1" i="32" s="1"/>
  <c r="Z324" i="2" l="1"/>
  <c r="Y277" i="2" l="1"/>
  <c r="Y278" i="2"/>
  <c r="Y279" i="2"/>
  <c r="Y280" i="2"/>
  <c r="Y281" i="2"/>
  <c r="Y265" i="2"/>
  <c r="Y266" i="2"/>
  <c r="Y267" i="2"/>
  <c r="Y268" i="2"/>
  <c r="Y269" i="2"/>
  <c r="Y270" i="2"/>
  <c r="Y271" i="2"/>
  <c r="Y272" i="2"/>
  <c r="Y273" i="2"/>
  <c r="Y274" i="2"/>
  <c r="Y275" i="2"/>
  <c r="Y276" i="2"/>
  <c r="J45" i="28" l="1"/>
  <c r="J38" i="28"/>
  <c r="Z374" i="2" l="1"/>
  <c r="Z375" i="2"/>
  <c r="Z376" i="2"/>
  <c r="Z377" i="2"/>
  <c r="Z378" i="2"/>
  <c r="Z379" i="2"/>
  <c r="Z364" i="2"/>
  <c r="Z365" i="2"/>
  <c r="Z366" i="2"/>
  <c r="Z367" i="2"/>
  <c r="Z368" i="2"/>
  <c r="Z369" i="2"/>
  <c r="Z370" i="2"/>
  <c r="Z371" i="2"/>
  <c r="Z372" i="2"/>
  <c r="Z373" i="2"/>
  <c r="Z355" i="2"/>
  <c r="Z356" i="2"/>
  <c r="Z357" i="2"/>
  <c r="Z358" i="2"/>
  <c r="Z359" i="2"/>
  <c r="Z360" i="2"/>
  <c r="Z361" i="2"/>
  <c r="Z362" i="2"/>
  <c r="Z363" i="2"/>
  <c r="Z344" i="2"/>
  <c r="Z345" i="2"/>
  <c r="Z346" i="2"/>
  <c r="Z347" i="2"/>
  <c r="Z348" i="2"/>
  <c r="Z349" i="2"/>
  <c r="Z350" i="2"/>
  <c r="Z351" i="2"/>
  <c r="Z352" i="2"/>
  <c r="Z353" i="2"/>
  <c r="Z354" i="2"/>
  <c r="Z335" i="2"/>
  <c r="Z336" i="2"/>
  <c r="Z337" i="2"/>
  <c r="Z338" i="2"/>
  <c r="Z339" i="2"/>
  <c r="Z340" i="2"/>
  <c r="Z341" i="2"/>
  <c r="Z342" i="2"/>
  <c r="Z343" i="2"/>
  <c r="Z325" i="2"/>
  <c r="Z326" i="2"/>
  <c r="Z327" i="2"/>
  <c r="Z328" i="2"/>
  <c r="Z329" i="2"/>
  <c r="Z330" i="2"/>
  <c r="Z318" i="2"/>
  <c r="Z319" i="2"/>
  <c r="Z320" i="2"/>
  <c r="Z321" i="2"/>
  <c r="Z322" i="2"/>
  <c r="Z323" i="2"/>
  <c r="Z304" i="2"/>
  <c r="Z305" i="2"/>
  <c r="Z306" i="2"/>
  <c r="Z307" i="2"/>
  <c r="Z308" i="2"/>
  <c r="Z309" i="2"/>
  <c r="Z310" i="2"/>
  <c r="Z311" i="2"/>
  <c r="Z312" i="2"/>
  <c r="Z313" i="2"/>
  <c r="Z314" i="2"/>
  <c r="Z315" i="2"/>
  <c r="Z316" i="2"/>
  <c r="Z317" i="2"/>
  <c r="Z292" i="2"/>
  <c r="Z293" i="2"/>
  <c r="Z294" i="2"/>
  <c r="Z295" i="2"/>
  <c r="Z296" i="2"/>
  <c r="Z297" i="2"/>
  <c r="Z298" i="2"/>
  <c r="Z299" i="2"/>
  <c r="Z300" i="2"/>
  <c r="Z301" i="2"/>
  <c r="Z302" i="2"/>
  <c r="Z303" i="2"/>
  <c r="Z286" i="2"/>
  <c r="Z287" i="2"/>
  <c r="Z288" i="2"/>
  <c r="Z289" i="2"/>
  <c r="Z290" i="2"/>
  <c r="Z291" i="2"/>
  <c r="Z281" i="2"/>
  <c r="Z270" i="2"/>
  <c r="Z271" i="2"/>
  <c r="Z272" i="2"/>
  <c r="Z273" i="2"/>
  <c r="Z274" i="2"/>
  <c r="Z275" i="2"/>
  <c r="Z276" i="2"/>
  <c r="Z277" i="2"/>
  <c r="Z278" i="2"/>
  <c r="Z279" i="2"/>
  <c r="Z280" i="2"/>
  <c r="Z258" i="2"/>
  <c r="Z259" i="2"/>
  <c r="Z260" i="2"/>
  <c r="Z261" i="2"/>
  <c r="Z262" i="2"/>
  <c r="Z263" i="2"/>
  <c r="Z264" i="2"/>
  <c r="Z265" i="2"/>
  <c r="Z266" i="2"/>
  <c r="Z267" i="2"/>
  <c r="Z268" i="2"/>
  <c r="Z269" i="2"/>
  <c r="Z245" i="2"/>
  <c r="Z246" i="2"/>
  <c r="Z247" i="2"/>
  <c r="Z248" i="2"/>
  <c r="Z249" i="2"/>
  <c r="Z250" i="2"/>
  <c r="Z251" i="2"/>
  <c r="Z252" i="2"/>
  <c r="Z253" i="2"/>
  <c r="Z254" i="2"/>
  <c r="Z255" i="2"/>
  <c r="Z256" i="2"/>
  <c r="Z257" i="2"/>
  <c r="Z218" i="2"/>
  <c r="Z219" i="2"/>
  <c r="Z220" i="2"/>
  <c r="Z221" i="2"/>
  <c r="Z222" i="2"/>
  <c r="Z223" i="2"/>
  <c r="Z224" i="2"/>
  <c r="Z225" i="2"/>
  <c r="Z207" i="2"/>
  <c r="Z208" i="2"/>
  <c r="Z209" i="2"/>
  <c r="Z210" i="2"/>
  <c r="Z211" i="2"/>
  <c r="Z212" i="2"/>
  <c r="Z213" i="2"/>
  <c r="Z214" i="2"/>
  <c r="Z215" i="2"/>
  <c r="Z216" i="2"/>
  <c r="Z21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180" i="2"/>
  <c r="Z181" i="2"/>
  <c r="Z182" i="2"/>
  <c r="Z168" i="2"/>
  <c r="Z169" i="2"/>
  <c r="Z170" i="2"/>
  <c r="Z171" i="2"/>
  <c r="Z172" i="2"/>
  <c r="Z167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43" i="2"/>
  <c r="Z132" i="2"/>
  <c r="Z133" i="2"/>
  <c r="Z134" i="2"/>
  <c r="Z135" i="2"/>
  <c r="Z136" i="2"/>
  <c r="Z137" i="2"/>
  <c r="Z138" i="2"/>
  <c r="Z139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A139" i="28"/>
  <c r="J108" i="28"/>
  <c r="J51" i="28"/>
  <c r="U255" i="2"/>
  <c r="K255" i="2"/>
  <c r="P98" i="16" l="1"/>
  <c r="C97" i="16"/>
  <c r="D97" i="16"/>
  <c r="E97" i="16"/>
  <c r="F97" i="16"/>
  <c r="K97" i="16"/>
  <c r="L97" i="16" s="1"/>
  <c r="S97" i="16"/>
  <c r="T97" i="16"/>
  <c r="W97" i="16"/>
  <c r="AA97" i="16"/>
  <c r="AD97" i="16"/>
  <c r="AE97" i="16"/>
  <c r="P47" i="18"/>
  <c r="C45" i="18"/>
  <c r="D45" i="18"/>
  <c r="E45" i="18"/>
  <c r="F45" i="18"/>
  <c r="K45" i="18"/>
  <c r="L45" i="18" s="1"/>
  <c r="S45" i="18"/>
  <c r="T45" i="18"/>
  <c r="W45" i="18"/>
  <c r="AA45" i="18"/>
  <c r="AD45" i="18"/>
  <c r="AE45" i="18"/>
  <c r="C46" i="18"/>
  <c r="D46" i="18"/>
  <c r="E46" i="18"/>
  <c r="F46" i="18"/>
  <c r="K46" i="18"/>
  <c r="O46" i="18" s="1"/>
  <c r="S46" i="18"/>
  <c r="T46" i="18"/>
  <c r="W46" i="18"/>
  <c r="AA46" i="18"/>
  <c r="AD46" i="18"/>
  <c r="AE46" i="18"/>
  <c r="A85" i="18"/>
  <c r="A180" i="16"/>
  <c r="A89" i="20"/>
  <c r="G377" i="2"/>
  <c r="H377" i="2"/>
  <c r="H18" i="20" s="1"/>
  <c r="L377" i="2"/>
  <c r="M377" i="2"/>
  <c r="N377" i="2"/>
  <c r="O377" i="2"/>
  <c r="X377" i="2"/>
  <c r="X18" i="20" s="1"/>
  <c r="Y377" i="2"/>
  <c r="Y18" i="20" s="1"/>
  <c r="Z18" i="20"/>
  <c r="G378" i="2"/>
  <c r="G19" i="20" s="1"/>
  <c r="H378" i="2"/>
  <c r="L378" i="2"/>
  <c r="M378" i="2"/>
  <c r="N378" i="2"/>
  <c r="O378" i="2"/>
  <c r="X378" i="2"/>
  <c r="X19" i="20" s="1"/>
  <c r="Y378" i="2"/>
  <c r="Y19" i="20" s="1"/>
  <c r="Z19" i="20"/>
  <c r="G379" i="2"/>
  <c r="G20" i="20" s="1"/>
  <c r="H379" i="2"/>
  <c r="H20" i="20" s="1"/>
  <c r="L379" i="2"/>
  <c r="M379" i="2"/>
  <c r="N379" i="2"/>
  <c r="O379" i="2"/>
  <c r="X379" i="2"/>
  <c r="X20" i="20" s="1"/>
  <c r="Y379" i="2"/>
  <c r="Y20" i="20" s="1"/>
  <c r="P380" i="2"/>
  <c r="S380" i="2"/>
  <c r="T380" i="2"/>
  <c r="W380" i="2"/>
  <c r="AA380" i="2"/>
  <c r="K380" i="2"/>
  <c r="P21" i="20"/>
  <c r="C16" i="20"/>
  <c r="D16" i="20"/>
  <c r="E16" i="20"/>
  <c r="F16" i="20"/>
  <c r="K16" i="20"/>
  <c r="L16" i="20" s="1"/>
  <c r="S16" i="20"/>
  <c r="T16" i="20"/>
  <c r="U16" i="20"/>
  <c r="W16" i="20"/>
  <c r="AA16" i="20"/>
  <c r="AD16" i="20"/>
  <c r="AE16" i="20"/>
  <c r="C17" i="20"/>
  <c r="D17" i="20"/>
  <c r="E17" i="20"/>
  <c r="F17" i="20"/>
  <c r="K17" i="20"/>
  <c r="L17" i="20" s="1"/>
  <c r="S17" i="20"/>
  <c r="T17" i="20"/>
  <c r="U17" i="20"/>
  <c r="W17" i="20"/>
  <c r="AA17" i="20"/>
  <c r="AD17" i="20"/>
  <c r="AE17" i="20"/>
  <c r="C18" i="20"/>
  <c r="D18" i="20"/>
  <c r="E18" i="20"/>
  <c r="F18" i="20"/>
  <c r="K18" i="20"/>
  <c r="L18" i="20" s="1"/>
  <c r="S18" i="20"/>
  <c r="T18" i="20"/>
  <c r="U18" i="20"/>
  <c r="W18" i="20"/>
  <c r="AA18" i="20"/>
  <c r="AD18" i="20"/>
  <c r="AE18" i="20"/>
  <c r="C19" i="20"/>
  <c r="D19" i="20"/>
  <c r="E19" i="20"/>
  <c r="F19" i="20"/>
  <c r="H19" i="20"/>
  <c r="K19" i="20"/>
  <c r="L19" i="20" s="1"/>
  <c r="S19" i="20"/>
  <c r="T19" i="20"/>
  <c r="U19" i="20"/>
  <c r="W19" i="20"/>
  <c r="AA19" i="20"/>
  <c r="AD19" i="20"/>
  <c r="AE19" i="20"/>
  <c r="C20" i="20"/>
  <c r="D20" i="20"/>
  <c r="E20" i="20"/>
  <c r="F20" i="20"/>
  <c r="K20" i="20"/>
  <c r="L20" i="20" s="1"/>
  <c r="S20" i="20"/>
  <c r="T20" i="20"/>
  <c r="U20" i="20"/>
  <c r="W20" i="20"/>
  <c r="Z20" i="20"/>
  <c r="AA20" i="20"/>
  <c r="AD20" i="20"/>
  <c r="AE20" i="20"/>
  <c r="L375" i="2"/>
  <c r="M375" i="2"/>
  <c r="N375" i="2"/>
  <c r="O375" i="2"/>
  <c r="X375" i="2"/>
  <c r="X16" i="20" s="1"/>
  <c r="Y375" i="2"/>
  <c r="Y16" i="20" s="1"/>
  <c r="Z16" i="20"/>
  <c r="L376" i="2"/>
  <c r="M376" i="2"/>
  <c r="N376" i="2"/>
  <c r="O376" i="2"/>
  <c r="X376" i="2"/>
  <c r="Y376" i="2"/>
  <c r="Y17" i="20" s="1"/>
  <c r="Z17" i="20"/>
  <c r="G375" i="2"/>
  <c r="H375" i="2"/>
  <c r="H16" i="20" s="1"/>
  <c r="G376" i="2"/>
  <c r="G17" i="20" s="1"/>
  <c r="H376" i="2"/>
  <c r="H17" i="20" s="1"/>
  <c r="P226" i="2"/>
  <c r="S226" i="2"/>
  <c r="W226" i="2"/>
  <c r="AA226" i="2"/>
  <c r="K226" i="2"/>
  <c r="L225" i="2"/>
  <c r="M225" i="2"/>
  <c r="N225" i="2"/>
  <c r="O225" i="2"/>
  <c r="U97" i="16"/>
  <c r="X225" i="2"/>
  <c r="X97" i="16" s="1"/>
  <c r="Y225" i="2"/>
  <c r="Y97" i="16" s="1"/>
  <c r="Z97" i="16"/>
  <c r="G225" i="2"/>
  <c r="G97" i="16" s="1"/>
  <c r="H225" i="2"/>
  <c r="H97" i="16" s="1"/>
  <c r="P140" i="2"/>
  <c r="S140" i="2"/>
  <c r="T140" i="2"/>
  <c r="W140" i="2"/>
  <c r="AA140" i="2"/>
  <c r="K140" i="2"/>
  <c r="G138" i="2"/>
  <c r="G45" i="18" s="1"/>
  <c r="H138" i="2"/>
  <c r="H45" i="18" s="1"/>
  <c r="L138" i="2"/>
  <c r="M138" i="2"/>
  <c r="N138" i="2"/>
  <c r="O138" i="2"/>
  <c r="U45" i="18"/>
  <c r="X138" i="2"/>
  <c r="X45" i="18" s="1"/>
  <c r="Y138" i="2"/>
  <c r="Y45" i="18" s="1"/>
  <c r="Z45" i="18"/>
  <c r="G139" i="2"/>
  <c r="G46" i="18" s="1"/>
  <c r="H139" i="2"/>
  <c r="H46" i="18" s="1"/>
  <c r="L139" i="2"/>
  <c r="M139" i="2"/>
  <c r="N139" i="2"/>
  <c r="O139" i="2"/>
  <c r="U46" i="18"/>
  <c r="X139" i="2"/>
  <c r="X46" i="18" s="1"/>
  <c r="Y139" i="2"/>
  <c r="Y46" i="18" s="1"/>
  <c r="Z46" i="18"/>
  <c r="I379" i="2" l="1"/>
  <c r="I377" i="2"/>
  <c r="G18" i="20"/>
  <c r="I18" i="20" s="1"/>
  <c r="Q225" i="2"/>
  <c r="J225" i="2" s="1"/>
  <c r="AB97" i="16"/>
  <c r="I45" i="18"/>
  <c r="I97" i="16"/>
  <c r="AB46" i="18"/>
  <c r="I46" i="18"/>
  <c r="I378" i="2"/>
  <c r="N46" i="18"/>
  <c r="M97" i="16"/>
  <c r="AB379" i="2"/>
  <c r="Q379" i="2"/>
  <c r="J379" i="2" s="1"/>
  <c r="AB378" i="2"/>
  <c r="AB45" i="18"/>
  <c r="O97" i="16"/>
  <c r="N97" i="16"/>
  <c r="M46" i="18"/>
  <c r="L46" i="18"/>
  <c r="O45" i="18"/>
  <c r="N45" i="18"/>
  <c r="M45" i="18"/>
  <c r="AB20" i="20"/>
  <c r="AB19" i="20"/>
  <c r="AB18" i="20"/>
  <c r="Q377" i="2"/>
  <c r="J377" i="2" s="1"/>
  <c r="Q378" i="2"/>
  <c r="J378" i="2" s="1"/>
  <c r="AB377" i="2"/>
  <c r="Q376" i="2"/>
  <c r="J376" i="2" s="1"/>
  <c r="Q375" i="2"/>
  <c r="J375" i="2" s="1"/>
  <c r="I375" i="2"/>
  <c r="I225" i="2"/>
  <c r="I19" i="20"/>
  <c r="I17" i="20"/>
  <c r="G16" i="20"/>
  <c r="I16" i="20" s="1"/>
  <c r="I20" i="20"/>
  <c r="O19" i="20"/>
  <c r="O17" i="20"/>
  <c r="AB376" i="2"/>
  <c r="N19" i="20"/>
  <c r="N17" i="20"/>
  <c r="X17" i="20"/>
  <c r="AB17" i="20" s="1"/>
  <c r="AB16" i="20"/>
  <c r="M19" i="20"/>
  <c r="M17" i="20"/>
  <c r="O20" i="20"/>
  <c r="O18" i="20"/>
  <c r="O16" i="20"/>
  <c r="N20" i="20"/>
  <c r="N18" i="20"/>
  <c r="N16" i="20"/>
  <c r="M20" i="20"/>
  <c r="M18" i="20"/>
  <c r="M16" i="20"/>
  <c r="AB375" i="2"/>
  <c r="I376" i="2"/>
  <c r="I139" i="2"/>
  <c r="AB225" i="2"/>
  <c r="Q138" i="2"/>
  <c r="J138" i="2" s="1"/>
  <c r="I138" i="2"/>
  <c r="Q139" i="2"/>
  <c r="J139" i="2" s="1"/>
  <c r="AB139" i="2"/>
  <c r="AB138" i="2"/>
  <c r="R377" i="2" l="1"/>
  <c r="R18" i="20" s="1"/>
  <c r="V18" i="20" s="1"/>
  <c r="AC18" i="20" s="1"/>
  <c r="R379" i="2"/>
  <c r="V379" i="2" s="1"/>
  <c r="AC379" i="2" s="1"/>
  <c r="R225" i="2"/>
  <c r="V225" i="2" s="1"/>
  <c r="AC225" i="2" s="1"/>
  <c r="Q19" i="20"/>
  <c r="J19" i="20" s="1"/>
  <c r="R375" i="2"/>
  <c r="R16" i="20" s="1"/>
  <c r="V16" i="20" s="1"/>
  <c r="AC16" i="20" s="1"/>
  <c r="Q97" i="16"/>
  <c r="J97" i="16" s="1"/>
  <c r="Q18" i="20"/>
  <c r="J18" i="20" s="1"/>
  <c r="Q46" i="18"/>
  <c r="J46" i="18" s="1"/>
  <c r="Q20" i="20"/>
  <c r="J20" i="20" s="1"/>
  <c r="R378" i="2"/>
  <c r="Q45" i="18"/>
  <c r="J45" i="18" s="1"/>
  <c r="Q16" i="20"/>
  <c r="J16" i="20" s="1"/>
  <c r="Q17" i="20"/>
  <c r="J17" i="20" s="1"/>
  <c r="R139" i="2"/>
  <c r="R376" i="2"/>
  <c r="R138" i="2"/>
  <c r="R97" i="16" l="1"/>
  <c r="V97" i="16" s="1"/>
  <c r="AC97" i="16" s="1"/>
  <c r="V377" i="2"/>
  <c r="R20" i="20"/>
  <c r="V20" i="20" s="1"/>
  <c r="AC20" i="20" s="1"/>
  <c r="V375" i="2"/>
  <c r="AC375" i="2" s="1"/>
  <c r="V139" i="2"/>
  <c r="AC139" i="2" s="1"/>
  <c r="R46" i="18"/>
  <c r="V46" i="18" s="1"/>
  <c r="AC46" i="18" s="1"/>
  <c r="V138" i="2"/>
  <c r="AC138" i="2" s="1"/>
  <c r="R45" i="18"/>
  <c r="V45" i="18" s="1"/>
  <c r="AC45" i="18" s="1"/>
  <c r="V378" i="2"/>
  <c r="AC378" i="2" s="1"/>
  <c r="R19" i="20"/>
  <c r="V19" i="20" s="1"/>
  <c r="AC19" i="20" s="1"/>
  <c r="AC377" i="2"/>
  <c r="V376" i="2"/>
  <c r="AC376" i="2" s="1"/>
  <c r="R17" i="20"/>
  <c r="V17" i="20" s="1"/>
  <c r="AC17" i="20" s="1"/>
  <c r="E31" i="10" l="1"/>
  <c r="F64" i="17" l="1"/>
  <c r="J135" i="28"/>
  <c r="J139" i="28" s="1"/>
  <c r="P56" i="14"/>
  <c r="P87" i="20"/>
  <c r="P66" i="20"/>
  <c r="P84" i="16"/>
  <c r="AA11" i="40" l="1"/>
  <c r="Z11" i="40"/>
  <c r="Y11" i="40"/>
  <c r="X11" i="40"/>
  <c r="V11" i="40"/>
  <c r="U11" i="40"/>
  <c r="T11" i="40"/>
  <c r="R11" i="40"/>
  <c r="Q11" i="40"/>
  <c r="P11" i="40"/>
  <c r="O11" i="40"/>
  <c r="N11" i="40"/>
  <c r="M11" i="40"/>
  <c r="AA9" i="40"/>
  <c r="Z9" i="40"/>
  <c r="Y9" i="40"/>
  <c r="X9" i="40"/>
  <c r="V9" i="40"/>
  <c r="U9" i="40"/>
  <c r="T9" i="40"/>
  <c r="R9" i="40"/>
  <c r="Q9" i="40"/>
  <c r="P9" i="40"/>
  <c r="O9" i="40"/>
  <c r="N9" i="40"/>
  <c r="M9" i="40"/>
  <c r="AB8" i="40"/>
  <c r="AB11" i="40" s="1"/>
  <c r="R8" i="40"/>
  <c r="J8" i="40"/>
  <c r="H8" i="40"/>
  <c r="G8" i="40"/>
  <c r="K8" i="40" s="1"/>
  <c r="A1" i="40"/>
  <c r="AB9" i="40" l="1"/>
  <c r="I8" i="40"/>
  <c r="S8" i="40" s="1"/>
  <c r="S9" i="40" l="1"/>
  <c r="W8" i="40"/>
  <c r="S11" i="40"/>
  <c r="W11" i="40" l="1"/>
  <c r="W9" i="40"/>
  <c r="AC8" i="40"/>
  <c r="AC11" i="40" l="1"/>
  <c r="AF13" i="40" s="1"/>
  <c r="AC9" i="40"/>
  <c r="AF15" i="40" l="1"/>
  <c r="G64" i="17"/>
  <c r="F31" i="10"/>
  <c r="C78" i="16"/>
  <c r="D78" i="16"/>
  <c r="E78" i="16"/>
  <c r="F78" i="16"/>
  <c r="K78" i="16"/>
  <c r="L78" i="16" s="1"/>
  <c r="S78" i="16"/>
  <c r="T78" i="16"/>
  <c r="W78" i="16"/>
  <c r="AA78" i="16"/>
  <c r="AD78" i="16"/>
  <c r="AE78" i="16"/>
  <c r="C79" i="16"/>
  <c r="D79" i="16"/>
  <c r="E79" i="16"/>
  <c r="F79" i="16"/>
  <c r="K79" i="16"/>
  <c r="L79" i="16" s="1"/>
  <c r="S79" i="16"/>
  <c r="T79" i="16"/>
  <c r="W79" i="16"/>
  <c r="AA79" i="16"/>
  <c r="AD79" i="16"/>
  <c r="AE79" i="16"/>
  <c r="C80" i="16"/>
  <c r="D80" i="16"/>
  <c r="E80" i="16"/>
  <c r="F80" i="16"/>
  <c r="K80" i="16"/>
  <c r="L80" i="16" s="1"/>
  <c r="S80" i="16"/>
  <c r="T80" i="16"/>
  <c r="W80" i="16"/>
  <c r="AA80" i="16"/>
  <c r="AD80" i="16"/>
  <c r="AE80" i="16"/>
  <c r="C81" i="16"/>
  <c r="D81" i="16"/>
  <c r="E81" i="16"/>
  <c r="F81" i="16"/>
  <c r="K81" i="16"/>
  <c r="O81" i="16" s="1"/>
  <c r="S81" i="16"/>
  <c r="T81" i="16"/>
  <c r="W81" i="16"/>
  <c r="AA81" i="16"/>
  <c r="AD81" i="16"/>
  <c r="AE81" i="16"/>
  <c r="C82" i="16"/>
  <c r="D82" i="16"/>
  <c r="E82" i="16"/>
  <c r="F82" i="16"/>
  <c r="K82" i="16"/>
  <c r="L82" i="16" s="1"/>
  <c r="S82" i="16"/>
  <c r="T82" i="16"/>
  <c r="W82" i="16"/>
  <c r="AA82" i="16"/>
  <c r="AD82" i="16"/>
  <c r="AE82" i="16"/>
  <c r="C83" i="16"/>
  <c r="D83" i="16"/>
  <c r="E83" i="16"/>
  <c r="F83" i="16"/>
  <c r="K83" i="16"/>
  <c r="O83" i="16" s="1"/>
  <c r="S83" i="16"/>
  <c r="T83" i="16"/>
  <c r="W83" i="16"/>
  <c r="AA83" i="16"/>
  <c r="AD83" i="16"/>
  <c r="AE83" i="16"/>
  <c r="C52" i="14"/>
  <c r="D52" i="14"/>
  <c r="E52" i="14"/>
  <c r="F52" i="14"/>
  <c r="K52" i="14"/>
  <c r="L52" i="14" s="1"/>
  <c r="S52" i="14"/>
  <c r="T52" i="14"/>
  <c r="U52" i="14"/>
  <c r="W52" i="14"/>
  <c r="X52" i="14"/>
  <c r="Y52" i="14"/>
  <c r="Z52" i="14"/>
  <c r="AA52" i="14"/>
  <c r="AD52" i="14"/>
  <c r="AE52" i="14"/>
  <c r="C53" i="14"/>
  <c r="D53" i="14"/>
  <c r="E53" i="14"/>
  <c r="F53" i="14"/>
  <c r="K53" i="14"/>
  <c r="O53" i="14" s="1"/>
  <c r="S53" i="14"/>
  <c r="T53" i="14"/>
  <c r="U53" i="14"/>
  <c r="W53" i="14"/>
  <c r="X53" i="14"/>
  <c r="Y53" i="14"/>
  <c r="Z53" i="14"/>
  <c r="AA53" i="14"/>
  <c r="AD53" i="14"/>
  <c r="AE53" i="14"/>
  <c r="C54" i="14"/>
  <c r="D54" i="14"/>
  <c r="E54" i="14"/>
  <c r="F54" i="14"/>
  <c r="K54" i="14"/>
  <c r="L54" i="14" s="1"/>
  <c r="S54" i="14"/>
  <c r="T54" i="14"/>
  <c r="U54" i="14"/>
  <c r="W54" i="14"/>
  <c r="X54" i="14"/>
  <c r="Y54" i="14"/>
  <c r="Z54" i="14"/>
  <c r="AA54" i="14"/>
  <c r="AD54" i="14"/>
  <c r="AE54" i="14"/>
  <c r="C55" i="14"/>
  <c r="C193" i="26" s="1"/>
  <c r="D55" i="14"/>
  <c r="D193" i="26" s="1"/>
  <c r="E55" i="14"/>
  <c r="E193" i="26" s="1"/>
  <c r="F55" i="14"/>
  <c r="K55" i="14"/>
  <c r="O55" i="14" s="1"/>
  <c r="S55" i="14"/>
  <c r="T55" i="14"/>
  <c r="U55" i="14"/>
  <c r="W55" i="14"/>
  <c r="X55" i="14"/>
  <c r="Y55" i="14"/>
  <c r="Z55" i="14"/>
  <c r="AA55" i="14"/>
  <c r="AD55" i="14"/>
  <c r="AE55" i="14"/>
  <c r="F193" i="26" s="1"/>
  <c r="P165" i="16"/>
  <c r="AE164" i="16"/>
  <c r="AD164" i="16"/>
  <c r="AA164" i="16"/>
  <c r="W164" i="16"/>
  <c r="U164" i="16"/>
  <c r="T164" i="16"/>
  <c r="S164" i="16"/>
  <c r="K164" i="16"/>
  <c r="N164" i="16" s="1"/>
  <c r="F164" i="16"/>
  <c r="E164" i="16"/>
  <c r="D164" i="16"/>
  <c r="C164" i="16"/>
  <c r="AE163" i="16"/>
  <c r="AD163" i="16"/>
  <c r="AA163" i="16"/>
  <c r="W163" i="16"/>
  <c r="U163" i="16"/>
  <c r="T163" i="16"/>
  <c r="S163" i="16"/>
  <c r="K163" i="16"/>
  <c r="O163" i="16" s="1"/>
  <c r="F163" i="16"/>
  <c r="E163" i="16"/>
  <c r="D163" i="16"/>
  <c r="C163" i="16"/>
  <c r="AE162" i="16"/>
  <c r="AD162" i="16"/>
  <c r="AA162" i="16"/>
  <c r="W162" i="16"/>
  <c r="U162" i="16"/>
  <c r="T162" i="16"/>
  <c r="S162" i="16"/>
  <c r="K162" i="16"/>
  <c r="N162" i="16" s="1"/>
  <c r="F162" i="16"/>
  <c r="E162" i="16"/>
  <c r="D162" i="16"/>
  <c r="C162" i="16"/>
  <c r="C65" i="20"/>
  <c r="D65" i="20"/>
  <c r="E65" i="20"/>
  <c r="F65" i="20"/>
  <c r="K65" i="20"/>
  <c r="L65" i="20" s="1"/>
  <c r="S65" i="20"/>
  <c r="T65" i="20"/>
  <c r="U65" i="20"/>
  <c r="W65" i="20"/>
  <c r="AA65" i="20"/>
  <c r="AD65" i="20"/>
  <c r="AE65" i="20"/>
  <c r="C15" i="20"/>
  <c r="D15" i="20"/>
  <c r="E15" i="20"/>
  <c r="F15" i="20"/>
  <c r="K15" i="20"/>
  <c r="L15" i="20" s="1"/>
  <c r="S15" i="20"/>
  <c r="T15" i="20"/>
  <c r="U15" i="20"/>
  <c r="W15" i="20"/>
  <c r="AA15" i="20"/>
  <c r="AD15" i="20"/>
  <c r="AE15" i="20"/>
  <c r="F190" i="26" l="1"/>
  <c r="D190" i="26"/>
  <c r="D191" i="26"/>
  <c r="D192" i="26"/>
  <c r="C190" i="26"/>
  <c r="C191" i="26"/>
  <c r="C192" i="26"/>
  <c r="E190" i="26"/>
  <c r="E191" i="26"/>
  <c r="E192" i="26"/>
  <c r="F191" i="26"/>
  <c r="F192" i="26"/>
  <c r="AB54" i="14"/>
  <c r="N79" i="16"/>
  <c r="N55" i="14"/>
  <c r="AB53" i="14"/>
  <c r="AB55" i="14"/>
  <c r="O79" i="16"/>
  <c r="N81" i="16"/>
  <c r="N53" i="14"/>
  <c r="N83" i="16"/>
  <c r="AB52" i="14"/>
  <c r="M83" i="16"/>
  <c r="M81" i="16"/>
  <c r="M79" i="16"/>
  <c r="L83" i="16"/>
  <c r="L81" i="16"/>
  <c r="O82" i="16"/>
  <c r="O80" i="16"/>
  <c r="O78" i="16"/>
  <c r="N82" i="16"/>
  <c r="N80" i="16"/>
  <c r="N78" i="16"/>
  <c r="M82" i="16"/>
  <c r="M80" i="16"/>
  <c r="M78" i="16"/>
  <c r="M164" i="16"/>
  <c r="M162" i="16"/>
  <c r="O162" i="16"/>
  <c r="O164" i="16"/>
  <c r="M55" i="14"/>
  <c r="M53" i="14"/>
  <c r="L55" i="14"/>
  <c r="L53" i="14"/>
  <c r="O54" i="14"/>
  <c r="O52" i="14"/>
  <c r="N54" i="14"/>
  <c r="N52" i="14"/>
  <c r="M54" i="14"/>
  <c r="M52" i="14"/>
  <c r="L163" i="16"/>
  <c r="M163" i="16"/>
  <c r="N163" i="16"/>
  <c r="L162" i="16"/>
  <c r="L164" i="16"/>
  <c r="O65" i="20"/>
  <c r="N65" i="20"/>
  <c r="M65" i="20"/>
  <c r="O15" i="20"/>
  <c r="N15" i="20"/>
  <c r="M15" i="20"/>
  <c r="X373" i="2"/>
  <c r="X15" i="20" s="1"/>
  <c r="Y373" i="2"/>
  <c r="Y15" i="20" s="1"/>
  <c r="Z15" i="20"/>
  <c r="X374" i="2"/>
  <c r="X65" i="20" s="1"/>
  <c r="Y374" i="2"/>
  <c r="Y65" i="20" s="1"/>
  <c r="Z65" i="20"/>
  <c r="L373" i="2"/>
  <c r="M373" i="2"/>
  <c r="N373" i="2"/>
  <c r="O373" i="2"/>
  <c r="L374" i="2"/>
  <c r="M374" i="2"/>
  <c r="N374" i="2"/>
  <c r="O374" i="2"/>
  <c r="G373" i="2"/>
  <c r="H373" i="2"/>
  <c r="H15" i="20" s="1"/>
  <c r="G374" i="2"/>
  <c r="H374" i="2"/>
  <c r="H65" i="20" s="1"/>
  <c r="P331" i="2"/>
  <c r="S331" i="2"/>
  <c r="T331" i="2"/>
  <c r="W331" i="2"/>
  <c r="AA331" i="2"/>
  <c r="Y324" i="2"/>
  <c r="Y325" i="2"/>
  <c r="Y326" i="2"/>
  <c r="Y327" i="2"/>
  <c r="Y328" i="2"/>
  <c r="Y162" i="16" s="1"/>
  <c r="Y329" i="2"/>
  <c r="Y163" i="16" s="1"/>
  <c r="Y330" i="2"/>
  <c r="Y164" i="16" s="1"/>
  <c r="Y314" i="2"/>
  <c r="Y315" i="2"/>
  <c r="Y316" i="2"/>
  <c r="Y317" i="2"/>
  <c r="Y318" i="2"/>
  <c r="Y319" i="2"/>
  <c r="Y320" i="2"/>
  <c r="Y321" i="2"/>
  <c r="Y322" i="2"/>
  <c r="X328" i="2"/>
  <c r="X162" i="16" s="1"/>
  <c r="X329" i="2"/>
  <c r="X163" i="16" s="1"/>
  <c r="Z163" i="16"/>
  <c r="X330" i="2"/>
  <c r="X164" i="16" s="1"/>
  <c r="Z164" i="16"/>
  <c r="L328" i="2"/>
  <c r="M328" i="2"/>
  <c r="N328" i="2"/>
  <c r="O328" i="2"/>
  <c r="L329" i="2"/>
  <c r="M329" i="2"/>
  <c r="N329" i="2"/>
  <c r="O329" i="2"/>
  <c r="L330" i="2"/>
  <c r="M330" i="2"/>
  <c r="N330" i="2"/>
  <c r="O330" i="2"/>
  <c r="G328" i="2"/>
  <c r="G162" i="16" s="1"/>
  <c r="H328" i="2"/>
  <c r="H162" i="16" s="1"/>
  <c r="G329" i="2"/>
  <c r="G163" i="16" s="1"/>
  <c r="H329" i="2"/>
  <c r="H163" i="16" s="1"/>
  <c r="G330" i="2"/>
  <c r="G164" i="16" s="1"/>
  <c r="H330" i="2"/>
  <c r="H164" i="16" s="1"/>
  <c r="X132" i="2"/>
  <c r="X78" i="16" s="1"/>
  <c r="Y132" i="2"/>
  <c r="Y78" i="16" s="1"/>
  <c r="Z78" i="16"/>
  <c r="X133" i="2"/>
  <c r="X79" i="16" s="1"/>
  <c r="Y133" i="2"/>
  <c r="Y79" i="16" s="1"/>
  <c r="Z79" i="16"/>
  <c r="X134" i="2"/>
  <c r="X80" i="16" s="1"/>
  <c r="Y134" i="2"/>
  <c r="Y80" i="16" s="1"/>
  <c r="Z80" i="16"/>
  <c r="X135" i="2"/>
  <c r="X81" i="16" s="1"/>
  <c r="Y135" i="2"/>
  <c r="Y81" i="16" s="1"/>
  <c r="Z81" i="16"/>
  <c r="X136" i="2"/>
  <c r="X82" i="16" s="1"/>
  <c r="Y136" i="2"/>
  <c r="Y82" i="16" s="1"/>
  <c r="Z82" i="16"/>
  <c r="X137" i="2"/>
  <c r="X83" i="16" s="1"/>
  <c r="Y137" i="2"/>
  <c r="Y83" i="16" s="1"/>
  <c r="Z83" i="16"/>
  <c r="U78" i="16"/>
  <c r="U79" i="16"/>
  <c r="U80" i="16"/>
  <c r="U81" i="16"/>
  <c r="U82" i="16"/>
  <c r="U83" i="16"/>
  <c r="L132" i="2"/>
  <c r="M132" i="2"/>
  <c r="N132" i="2"/>
  <c r="O132" i="2"/>
  <c r="L133" i="2"/>
  <c r="M133" i="2"/>
  <c r="N133" i="2"/>
  <c r="O133" i="2"/>
  <c r="L134" i="2"/>
  <c r="M134" i="2"/>
  <c r="N134" i="2"/>
  <c r="O134" i="2"/>
  <c r="L135" i="2"/>
  <c r="M135" i="2"/>
  <c r="N135" i="2"/>
  <c r="O135" i="2"/>
  <c r="L136" i="2"/>
  <c r="M136" i="2"/>
  <c r="N136" i="2"/>
  <c r="O136" i="2"/>
  <c r="L137" i="2"/>
  <c r="M137" i="2"/>
  <c r="N137" i="2"/>
  <c r="O137" i="2"/>
  <c r="G132" i="2"/>
  <c r="G78" i="16" s="1"/>
  <c r="H132" i="2"/>
  <c r="H78" i="16" s="1"/>
  <c r="G133" i="2"/>
  <c r="G79" i="16" s="1"/>
  <c r="H133" i="2"/>
  <c r="H79" i="16" s="1"/>
  <c r="G134" i="2"/>
  <c r="G80" i="16" s="1"/>
  <c r="H134" i="2"/>
  <c r="H80" i="16" s="1"/>
  <c r="G135" i="2"/>
  <c r="G81" i="16" s="1"/>
  <c r="H135" i="2"/>
  <c r="H81" i="16" s="1"/>
  <c r="G136" i="2"/>
  <c r="G82" i="16" s="1"/>
  <c r="H136" i="2"/>
  <c r="H82" i="16" s="1"/>
  <c r="G137" i="2"/>
  <c r="G83" i="16" s="1"/>
  <c r="H137" i="2"/>
  <c r="H83" i="16" s="1"/>
  <c r="Z162" i="16" l="1"/>
  <c r="AB162" i="16" s="1"/>
  <c r="I82" i="16"/>
  <c r="I78" i="16"/>
  <c r="I81" i="16"/>
  <c r="AB164" i="16"/>
  <c r="I79" i="16"/>
  <c r="I162" i="16"/>
  <c r="AB163" i="16"/>
  <c r="I164" i="16"/>
  <c r="I163" i="16"/>
  <c r="AB81" i="16"/>
  <c r="AB15" i="20"/>
  <c r="I80" i="16"/>
  <c r="AB82" i="16"/>
  <c r="I83" i="16"/>
  <c r="AB78" i="16"/>
  <c r="I373" i="2"/>
  <c r="G15" i="20"/>
  <c r="I15" i="20" s="1"/>
  <c r="AB80" i="16"/>
  <c r="Q330" i="2"/>
  <c r="J330" i="2" s="1"/>
  <c r="Q328" i="2"/>
  <c r="J328" i="2" s="1"/>
  <c r="AB83" i="16"/>
  <c r="Q374" i="2"/>
  <c r="J374" i="2" s="1"/>
  <c r="AB65" i="20"/>
  <c r="I374" i="2"/>
  <c r="G65" i="20"/>
  <c r="I65" i="20" s="1"/>
  <c r="AB79" i="16"/>
  <c r="Q79" i="16"/>
  <c r="J79" i="16" s="1"/>
  <c r="Q53" i="14"/>
  <c r="Q55" i="14"/>
  <c r="Q82" i="16"/>
  <c r="J82" i="16" s="1"/>
  <c r="Q78" i="16"/>
  <c r="J78" i="16" s="1"/>
  <c r="Q65" i="20"/>
  <c r="Q52" i="14"/>
  <c r="Q80" i="16"/>
  <c r="J80" i="16" s="1"/>
  <c r="Q54" i="14"/>
  <c r="Q81" i="16"/>
  <c r="J81" i="16" s="1"/>
  <c r="Q83" i="16"/>
  <c r="J83" i="16" s="1"/>
  <c r="Q162" i="16"/>
  <c r="J162" i="16" s="1"/>
  <c r="Q164" i="16"/>
  <c r="J164" i="16" s="1"/>
  <c r="Q163" i="16"/>
  <c r="J163" i="16" s="1"/>
  <c r="Q15" i="20"/>
  <c r="I135" i="2"/>
  <c r="Q137" i="2"/>
  <c r="J137" i="2" s="1"/>
  <c r="Q133" i="2"/>
  <c r="J133" i="2" s="1"/>
  <c r="Q329" i="2"/>
  <c r="J329" i="2" s="1"/>
  <c r="AB373" i="2"/>
  <c r="AB374" i="2"/>
  <c r="AB329" i="2"/>
  <c r="Q373" i="2"/>
  <c r="Q134" i="2"/>
  <c r="J134" i="2" s="1"/>
  <c r="I328" i="2"/>
  <c r="I136" i="2"/>
  <c r="Q136" i="2"/>
  <c r="J136" i="2" s="1"/>
  <c r="Q132" i="2"/>
  <c r="J132" i="2" s="1"/>
  <c r="AB135" i="2"/>
  <c r="Q135" i="2"/>
  <c r="J135" i="2" s="1"/>
  <c r="I330" i="2"/>
  <c r="AB133" i="2"/>
  <c r="AB328" i="2"/>
  <c r="AB330" i="2"/>
  <c r="I329" i="2"/>
  <c r="I137" i="2"/>
  <c r="I133" i="2"/>
  <c r="AB134" i="2"/>
  <c r="I132" i="2"/>
  <c r="AB136" i="2"/>
  <c r="I134" i="2"/>
  <c r="AB132" i="2"/>
  <c r="AB137" i="2"/>
  <c r="L278" i="2"/>
  <c r="M278" i="2"/>
  <c r="N278" i="2"/>
  <c r="O278" i="2"/>
  <c r="L279" i="2"/>
  <c r="M279" i="2"/>
  <c r="N279" i="2"/>
  <c r="O279" i="2"/>
  <c r="L280" i="2"/>
  <c r="M280" i="2"/>
  <c r="N280" i="2"/>
  <c r="O280" i="2"/>
  <c r="L281" i="2"/>
  <c r="M281" i="2"/>
  <c r="N281" i="2"/>
  <c r="O281" i="2"/>
  <c r="G278" i="2"/>
  <c r="G52" i="14" s="1"/>
  <c r="H278" i="2"/>
  <c r="H52" i="14" s="1"/>
  <c r="G279" i="2"/>
  <c r="G53" i="14" s="1"/>
  <c r="H279" i="2"/>
  <c r="H53" i="14" s="1"/>
  <c r="G280" i="2"/>
  <c r="G54" i="14" s="1"/>
  <c r="H280" i="2"/>
  <c r="H54" i="14" s="1"/>
  <c r="G281" i="2"/>
  <c r="G55" i="14" s="1"/>
  <c r="H281" i="2"/>
  <c r="H55" i="14" s="1"/>
  <c r="P282" i="2"/>
  <c r="S282" i="2"/>
  <c r="T282" i="2"/>
  <c r="W282" i="2"/>
  <c r="AA282" i="2"/>
  <c r="K282" i="2"/>
  <c r="R374" i="2" l="1"/>
  <c r="V374" i="2" s="1"/>
  <c r="AC374" i="2" s="1"/>
  <c r="I53" i="14"/>
  <c r="I52" i="14"/>
  <c r="J65" i="20"/>
  <c r="I54" i="14"/>
  <c r="R136" i="2"/>
  <c r="V136" i="2" s="1"/>
  <c r="AC136" i="2" s="1"/>
  <c r="R133" i="2"/>
  <c r="R79" i="16" s="1"/>
  <c r="V79" i="16" s="1"/>
  <c r="AC79" i="16" s="1"/>
  <c r="R328" i="2"/>
  <c r="V328" i="2" s="1"/>
  <c r="AC328" i="2" s="1"/>
  <c r="J55" i="14"/>
  <c r="J53" i="14"/>
  <c r="J54" i="14"/>
  <c r="R65" i="20"/>
  <c r="V65" i="20" s="1"/>
  <c r="AC65" i="20" s="1"/>
  <c r="I55" i="14"/>
  <c r="R135" i="2"/>
  <c r="J52" i="14"/>
  <c r="J15" i="20"/>
  <c r="J373" i="2"/>
  <c r="R373" i="2" s="1"/>
  <c r="R330" i="2"/>
  <c r="Q281" i="2"/>
  <c r="J281" i="2" s="1"/>
  <c r="R329" i="2"/>
  <c r="R137" i="2"/>
  <c r="Q280" i="2"/>
  <c r="J280" i="2" s="1"/>
  <c r="Q278" i="2"/>
  <c r="J278" i="2" s="1"/>
  <c r="R132" i="2"/>
  <c r="R78" i="16" s="1"/>
  <c r="V78" i="16" s="1"/>
  <c r="AC78" i="16" s="1"/>
  <c r="R134" i="2"/>
  <c r="I280" i="2"/>
  <c r="I281" i="2"/>
  <c r="I279" i="2"/>
  <c r="I278" i="2"/>
  <c r="Q279" i="2"/>
  <c r="J279" i="2" s="1"/>
  <c r="R162" i="16" l="1"/>
  <c r="V162" i="16" s="1"/>
  <c r="AC162" i="16" s="1"/>
  <c r="R82" i="16"/>
  <c r="V82" i="16" s="1"/>
  <c r="AC82" i="16" s="1"/>
  <c r="V133" i="2"/>
  <c r="AC133" i="2" s="1"/>
  <c r="V330" i="2"/>
  <c r="AC330" i="2" s="1"/>
  <c r="R164" i="16"/>
  <c r="V164" i="16" s="1"/>
  <c r="AC164" i="16" s="1"/>
  <c r="V373" i="2"/>
  <c r="AC373" i="2" s="1"/>
  <c r="R15" i="20"/>
  <c r="V15" i="20" s="1"/>
  <c r="AC15" i="20" s="1"/>
  <c r="V135" i="2"/>
  <c r="AC135" i="2" s="1"/>
  <c r="R81" i="16"/>
  <c r="V81" i="16" s="1"/>
  <c r="AC81" i="16" s="1"/>
  <c r="V137" i="2"/>
  <c r="AC137" i="2" s="1"/>
  <c r="R83" i="16"/>
  <c r="V83" i="16" s="1"/>
  <c r="AC83" i="16" s="1"/>
  <c r="V134" i="2"/>
  <c r="AC134" i="2" s="1"/>
  <c r="R80" i="16"/>
  <c r="V80" i="16" s="1"/>
  <c r="AC80" i="16" s="1"/>
  <c r="V329" i="2"/>
  <c r="AC329" i="2" s="1"/>
  <c r="R163" i="16"/>
  <c r="V163" i="16" s="1"/>
  <c r="AC163" i="16" s="1"/>
  <c r="R280" i="2"/>
  <c r="V132" i="2"/>
  <c r="AC132" i="2" s="1"/>
  <c r="R278" i="2"/>
  <c r="R279" i="2"/>
  <c r="R281" i="2"/>
  <c r="V278" i="2" l="1"/>
  <c r="AC278" i="2" s="1"/>
  <c r="R52" i="14"/>
  <c r="V52" i="14" s="1"/>
  <c r="AC52" i="14" s="1"/>
  <c r="V280" i="2"/>
  <c r="AC280" i="2" s="1"/>
  <c r="R54" i="14"/>
  <c r="V54" i="14" s="1"/>
  <c r="AC54" i="14" s="1"/>
  <c r="V279" i="2"/>
  <c r="AC279" i="2" s="1"/>
  <c r="R53" i="14"/>
  <c r="V53" i="14" s="1"/>
  <c r="AC53" i="14" s="1"/>
  <c r="V281" i="2"/>
  <c r="AC281" i="2" s="1"/>
  <c r="R55" i="14"/>
  <c r="V55" i="14" s="1"/>
  <c r="AC55" i="14" s="1"/>
  <c r="G193" i="26" s="1"/>
  <c r="G190" i="26" l="1"/>
  <c r="G191" i="26"/>
  <c r="G192" i="26"/>
  <c r="A58" i="14" l="1"/>
  <c r="A38" i="30"/>
  <c r="C70" i="20" l="1"/>
  <c r="E70" i="20"/>
  <c r="F70" i="20"/>
  <c r="K70" i="20"/>
  <c r="L70" i="20" s="1"/>
  <c r="S70" i="20"/>
  <c r="T70" i="20"/>
  <c r="U70" i="20"/>
  <c r="W70" i="20"/>
  <c r="AA70" i="20"/>
  <c r="AD70" i="20"/>
  <c r="AE70" i="20"/>
  <c r="C71" i="20"/>
  <c r="E71" i="20"/>
  <c r="F71" i="20"/>
  <c r="K71" i="20"/>
  <c r="L71" i="20" s="1"/>
  <c r="S71" i="20"/>
  <c r="T71" i="20"/>
  <c r="U71" i="20"/>
  <c r="W71" i="20"/>
  <c r="AA71" i="20"/>
  <c r="AD71" i="20"/>
  <c r="AE71" i="20"/>
  <c r="U34" i="16"/>
  <c r="U35" i="16"/>
  <c r="U36" i="16"/>
  <c r="C26" i="30"/>
  <c r="C208" i="26" s="1"/>
  <c r="E26" i="30"/>
  <c r="E208" i="26" s="1"/>
  <c r="F26" i="30"/>
  <c r="H26" i="30"/>
  <c r="K26" i="30"/>
  <c r="L26" i="30" s="1"/>
  <c r="S26" i="30"/>
  <c r="T26" i="30"/>
  <c r="U26" i="30"/>
  <c r="W26" i="30"/>
  <c r="AA26" i="30"/>
  <c r="AD26" i="30"/>
  <c r="AE26" i="30"/>
  <c r="F208" i="26" s="1"/>
  <c r="C27" i="30"/>
  <c r="C209" i="26" s="1"/>
  <c r="E27" i="30"/>
  <c r="E209" i="26" s="1"/>
  <c r="F27" i="30"/>
  <c r="H27" i="30"/>
  <c r="K27" i="30"/>
  <c r="L27" i="30" s="1"/>
  <c r="S27" i="30"/>
  <c r="T27" i="30"/>
  <c r="U27" i="30"/>
  <c r="W27" i="30"/>
  <c r="AA27" i="30"/>
  <c r="AD27" i="30"/>
  <c r="AE27" i="30"/>
  <c r="F209" i="26" s="1"/>
  <c r="C28" i="30"/>
  <c r="C210" i="26" s="1"/>
  <c r="E28" i="30"/>
  <c r="E210" i="26" s="1"/>
  <c r="F28" i="30"/>
  <c r="H28" i="30"/>
  <c r="K28" i="30"/>
  <c r="M28" i="30" s="1"/>
  <c r="S28" i="30"/>
  <c r="T28" i="30"/>
  <c r="U28" i="30"/>
  <c r="W28" i="30"/>
  <c r="AA28" i="30"/>
  <c r="AD28" i="30"/>
  <c r="AE28" i="30"/>
  <c r="F210" i="26" s="1"/>
  <c r="C29" i="30"/>
  <c r="C211" i="26" s="1"/>
  <c r="E29" i="30"/>
  <c r="E211" i="26" s="1"/>
  <c r="F29" i="30"/>
  <c r="H29" i="30"/>
  <c r="K29" i="30"/>
  <c r="L29" i="30" s="1"/>
  <c r="S29" i="30"/>
  <c r="T29" i="30"/>
  <c r="U29" i="30"/>
  <c r="W29" i="30"/>
  <c r="AA29" i="30"/>
  <c r="AD29" i="30"/>
  <c r="AE29" i="30"/>
  <c r="F211" i="26" s="1"/>
  <c r="C30" i="30"/>
  <c r="C212" i="26" s="1"/>
  <c r="E30" i="30"/>
  <c r="E212" i="26" s="1"/>
  <c r="F30" i="30"/>
  <c r="H30" i="30"/>
  <c r="K30" i="30"/>
  <c r="L30" i="30" s="1"/>
  <c r="S30" i="30"/>
  <c r="T30" i="30"/>
  <c r="U30" i="30"/>
  <c r="W30" i="30"/>
  <c r="AA30" i="30"/>
  <c r="AD30" i="30"/>
  <c r="AE30" i="30"/>
  <c r="F212" i="26" s="1"/>
  <c r="C31" i="30"/>
  <c r="C213" i="26" s="1"/>
  <c r="E31" i="30"/>
  <c r="E213" i="26" s="1"/>
  <c r="F31" i="30"/>
  <c r="H31" i="30"/>
  <c r="K31" i="30"/>
  <c r="L31" i="30" s="1"/>
  <c r="S31" i="30"/>
  <c r="T31" i="30"/>
  <c r="U31" i="30"/>
  <c r="W31" i="30"/>
  <c r="AA31" i="30"/>
  <c r="AD31" i="30"/>
  <c r="AE31" i="30"/>
  <c r="F213" i="26" s="1"/>
  <c r="C32" i="30"/>
  <c r="C214" i="26" s="1"/>
  <c r="E32" i="30"/>
  <c r="E214" i="26" s="1"/>
  <c r="F32" i="30"/>
  <c r="H32" i="30"/>
  <c r="K32" i="30"/>
  <c r="O32" i="30" s="1"/>
  <c r="S32" i="30"/>
  <c r="T32" i="30"/>
  <c r="U32" i="30"/>
  <c r="W32" i="30"/>
  <c r="AA32" i="30"/>
  <c r="AD32" i="30"/>
  <c r="AE32" i="30"/>
  <c r="F214" i="26" s="1"/>
  <c r="C33" i="30"/>
  <c r="C215" i="26" s="1"/>
  <c r="E33" i="30"/>
  <c r="E215" i="26" s="1"/>
  <c r="F33" i="30"/>
  <c r="H33" i="30"/>
  <c r="K33" i="30"/>
  <c r="L33" i="30" s="1"/>
  <c r="S33" i="30"/>
  <c r="T33" i="30"/>
  <c r="W33" i="30"/>
  <c r="AA33" i="30"/>
  <c r="AD33" i="30"/>
  <c r="AE33" i="30"/>
  <c r="F215" i="26" s="1"/>
  <c r="C34" i="30"/>
  <c r="C216" i="26" s="1"/>
  <c r="E34" i="30"/>
  <c r="E216" i="26" s="1"/>
  <c r="F34" i="30"/>
  <c r="H34" i="30"/>
  <c r="K34" i="30"/>
  <c r="L34" i="30" s="1"/>
  <c r="S34" i="30"/>
  <c r="T34" i="30"/>
  <c r="W34" i="30"/>
  <c r="AA34" i="30"/>
  <c r="AD34" i="30"/>
  <c r="AE34" i="30"/>
  <c r="F216" i="26" s="1"/>
  <c r="C18" i="30"/>
  <c r="E18" i="30"/>
  <c r="F18" i="30"/>
  <c r="H18" i="30"/>
  <c r="K18" i="30"/>
  <c r="L18" i="30" s="1"/>
  <c r="S18" i="30"/>
  <c r="T18" i="30"/>
  <c r="U18" i="30"/>
  <c r="W18" i="30"/>
  <c r="AA18" i="30"/>
  <c r="AD18" i="30"/>
  <c r="AE18" i="30"/>
  <c r="C81" i="20"/>
  <c r="E81" i="20"/>
  <c r="F81" i="20"/>
  <c r="K81" i="20"/>
  <c r="L81" i="20" s="1"/>
  <c r="S81" i="20"/>
  <c r="T81" i="20"/>
  <c r="U81" i="20"/>
  <c r="W81" i="20"/>
  <c r="AA81" i="20"/>
  <c r="AD81" i="20"/>
  <c r="AE81" i="20"/>
  <c r="C82" i="20"/>
  <c r="C66" i="38" s="1"/>
  <c r="E82" i="20"/>
  <c r="E66" i="38" s="1"/>
  <c r="F82" i="20"/>
  <c r="K82" i="20"/>
  <c r="O82" i="20" s="1"/>
  <c r="S82" i="20"/>
  <c r="T82" i="20"/>
  <c r="W82" i="20"/>
  <c r="AA82" i="20"/>
  <c r="AD82" i="20"/>
  <c r="AE82" i="20"/>
  <c r="F66" i="38" s="1"/>
  <c r="C83" i="20"/>
  <c r="C67" i="38" s="1"/>
  <c r="E83" i="20"/>
  <c r="E67" i="38" s="1"/>
  <c r="F83" i="20"/>
  <c r="K83" i="20"/>
  <c r="L83" i="20" s="1"/>
  <c r="S83" i="20"/>
  <c r="T83" i="20"/>
  <c r="U83" i="20"/>
  <c r="W83" i="20"/>
  <c r="AA83" i="20"/>
  <c r="AD83" i="20"/>
  <c r="AE83" i="20"/>
  <c r="F67" i="38" s="1"/>
  <c r="C84" i="20"/>
  <c r="C68" i="38" s="1"/>
  <c r="E84" i="20"/>
  <c r="E68" i="38" s="1"/>
  <c r="F84" i="20"/>
  <c r="K84" i="20"/>
  <c r="M84" i="20" s="1"/>
  <c r="S84" i="20"/>
  <c r="T84" i="20"/>
  <c r="U84" i="20"/>
  <c r="W84" i="20"/>
  <c r="AA84" i="20"/>
  <c r="AD84" i="20"/>
  <c r="AE84" i="20"/>
  <c r="F68" i="38" s="1"/>
  <c r="C85" i="20"/>
  <c r="E85" i="20"/>
  <c r="F85" i="20"/>
  <c r="K85" i="20"/>
  <c r="L85" i="20" s="1"/>
  <c r="S85" i="20"/>
  <c r="T85" i="20"/>
  <c r="W85" i="20"/>
  <c r="AA85" i="20"/>
  <c r="AD85" i="20"/>
  <c r="AE85" i="20"/>
  <c r="C101" i="16"/>
  <c r="E101" i="16"/>
  <c r="F101" i="16"/>
  <c r="K101" i="16"/>
  <c r="M101" i="16" s="1"/>
  <c r="S101" i="16"/>
  <c r="T101" i="16"/>
  <c r="W101" i="16"/>
  <c r="AA101" i="16"/>
  <c r="AD101" i="16"/>
  <c r="AE101" i="16"/>
  <c r="P15" i="18"/>
  <c r="P22" i="18"/>
  <c r="P26" i="18"/>
  <c r="P57" i="18"/>
  <c r="P61" i="18"/>
  <c r="P66" i="18"/>
  <c r="P74" i="18"/>
  <c r="P83" i="18"/>
  <c r="AF14" i="33"/>
  <c r="F55" i="38" l="1"/>
  <c r="C55" i="38"/>
  <c r="E55" i="38"/>
  <c r="E65" i="38"/>
  <c r="C65" i="38"/>
  <c r="F65" i="38"/>
  <c r="O71" i="20"/>
  <c r="N71" i="20"/>
  <c r="M71" i="20"/>
  <c r="O70" i="20"/>
  <c r="N70" i="20"/>
  <c r="M70" i="20"/>
  <c r="N32" i="30"/>
  <c r="L28" i="30"/>
  <c r="N82" i="20"/>
  <c r="O84" i="20"/>
  <c r="L82" i="20"/>
  <c r="O34" i="30"/>
  <c r="N84" i="20"/>
  <c r="N34" i="30"/>
  <c r="O28" i="30"/>
  <c r="L84" i="20"/>
  <c r="N28" i="30"/>
  <c r="L101" i="16"/>
  <c r="O30" i="30"/>
  <c r="N30" i="30"/>
  <c r="M34" i="30"/>
  <c r="M32" i="30"/>
  <c r="M30" i="30"/>
  <c r="L32" i="30"/>
  <c r="O33" i="30"/>
  <c r="O31" i="30"/>
  <c r="O29" i="30"/>
  <c r="O27" i="30"/>
  <c r="O26" i="30"/>
  <c r="N33" i="30"/>
  <c r="N31" i="30"/>
  <c r="N29" i="30"/>
  <c r="N27" i="30"/>
  <c r="N26" i="30"/>
  <c r="M33" i="30"/>
  <c r="M31" i="30"/>
  <c r="M29" i="30"/>
  <c r="M27" i="30"/>
  <c r="M26" i="30"/>
  <c r="O18" i="30"/>
  <c r="N18" i="30"/>
  <c r="M18" i="30"/>
  <c r="M82" i="20"/>
  <c r="O85" i="20"/>
  <c r="O83" i="20"/>
  <c r="O81" i="20"/>
  <c r="N83" i="20"/>
  <c r="N81" i="20"/>
  <c r="M85" i="20"/>
  <c r="M83" i="20"/>
  <c r="M81" i="20"/>
  <c r="N85" i="20"/>
  <c r="O101" i="16"/>
  <c r="N101" i="16"/>
  <c r="P85" i="18"/>
  <c r="Q101" i="16" l="1"/>
  <c r="Q71" i="20"/>
  <c r="Q31" i="30"/>
  <c r="Q34" i="30"/>
  <c r="Q70" i="20"/>
  <c r="Q85" i="20"/>
  <c r="Q29" i="30"/>
  <c r="Q30" i="30"/>
  <c r="Q28" i="30"/>
  <c r="Q33" i="30"/>
  <c r="Q84" i="20"/>
  <c r="Q82" i="20"/>
  <c r="Q27" i="30"/>
  <c r="Q81" i="20"/>
  <c r="Q83" i="20"/>
  <c r="Q26" i="30"/>
  <c r="Q32" i="30"/>
  <c r="Q18" i="30"/>
  <c r="C28" i="20"/>
  <c r="E28" i="20"/>
  <c r="F28" i="20"/>
  <c r="S28" i="20"/>
  <c r="T28" i="20"/>
  <c r="W28" i="20"/>
  <c r="AA28" i="20"/>
  <c r="AD28" i="20"/>
  <c r="AE28" i="20"/>
  <c r="K28" i="20"/>
  <c r="L28" i="20" s="1"/>
  <c r="K331" i="2" l="1"/>
  <c r="O28" i="20"/>
  <c r="N28" i="20"/>
  <c r="M28" i="20"/>
  <c r="Q28" i="20" l="1"/>
  <c r="C9" i="23" l="1"/>
  <c r="A382" i="2" l="1"/>
  <c r="C86" i="20"/>
  <c r="D86" i="20"/>
  <c r="E86" i="20"/>
  <c r="F86" i="20"/>
  <c r="K86" i="20"/>
  <c r="M86" i="20" s="1"/>
  <c r="S86" i="20"/>
  <c r="T86" i="20"/>
  <c r="W86" i="20"/>
  <c r="AA86" i="20"/>
  <c r="AD86" i="20"/>
  <c r="AE86" i="20"/>
  <c r="L201" i="2"/>
  <c r="M201" i="2"/>
  <c r="N201" i="2"/>
  <c r="O201" i="2"/>
  <c r="U86" i="20"/>
  <c r="X201" i="2"/>
  <c r="X86" i="20" s="1"/>
  <c r="Y201" i="2"/>
  <c r="Y86" i="20" s="1"/>
  <c r="P202" i="2"/>
  <c r="S202" i="2"/>
  <c r="T202" i="2"/>
  <c r="W202" i="2"/>
  <c r="AA202" i="2"/>
  <c r="K202" i="2"/>
  <c r="G201" i="2"/>
  <c r="H201" i="2"/>
  <c r="H86" i="20" s="1"/>
  <c r="P36" i="30"/>
  <c r="C35" i="30"/>
  <c r="C217" i="26" s="1"/>
  <c r="D35" i="30"/>
  <c r="D217" i="26" s="1"/>
  <c r="E35" i="30"/>
  <c r="E217" i="26" s="1"/>
  <c r="F35" i="30"/>
  <c r="H35" i="30"/>
  <c r="K35" i="30"/>
  <c r="L35" i="30" s="1"/>
  <c r="S35" i="30"/>
  <c r="T35" i="30"/>
  <c r="W35" i="30"/>
  <c r="AA35" i="30"/>
  <c r="AD35" i="30"/>
  <c r="AE35" i="30"/>
  <c r="F217" i="26" s="1"/>
  <c r="L131" i="2"/>
  <c r="M131" i="2"/>
  <c r="N131" i="2"/>
  <c r="O131" i="2"/>
  <c r="U35" i="30"/>
  <c r="X131" i="2"/>
  <c r="X35" i="30" s="1"/>
  <c r="Y131" i="2"/>
  <c r="Y35" i="30" s="1"/>
  <c r="Z35" i="30"/>
  <c r="G131" i="2"/>
  <c r="H131" i="2"/>
  <c r="C158" i="16"/>
  <c r="D158" i="16"/>
  <c r="E158" i="16"/>
  <c r="F158" i="16"/>
  <c r="K158" i="16"/>
  <c r="L158" i="16" s="1"/>
  <c r="S158" i="16"/>
  <c r="T158" i="16"/>
  <c r="W158" i="16"/>
  <c r="Y158" i="16"/>
  <c r="AA158" i="16"/>
  <c r="AD158" i="16"/>
  <c r="AE158" i="16"/>
  <c r="C159" i="16"/>
  <c r="D159" i="16"/>
  <c r="E159" i="16"/>
  <c r="F159" i="16"/>
  <c r="K159" i="16"/>
  <c r="L159" i="16" s="1"/>
  <c r="S159" i="16"/>
  <c r="T159" i="16"/>
  <c r="W159" i="16"/>
  <c r="Y159" i="16"/>
  <c r="AA159" i="16"/>
  <c r="AD159" i="16"/>
  <c r="AE159" i="16"/>
  <c r="C160" i="16"/>
  <c r="D160" i="16"/>
  <c r="E160" i="16"/>
  <c r="F160" i="16"/>
  <c r="K160" i="16"/>
  <c r="L160" i="16" s="1"/>
  <c r="S160" i="16"/>
  <c r="T160" i="16"/>
  <c r="W160" i="16"/>
  <c r="Y160" i="16"/>
  <c r="AA160" i="16"/>
  <c r="AD160" i="16"/>
  <c r="AE160" i="16"/>
  <c r="C161" i="16"/>
  <c r="D161" i="16"/>
  <c r="D142" i="26" s="1"/>
  <c r="E161" i="16"/>
  <c r="F161" i="16"/>
  <c r="K161" i="16"/>
  <c r="O161" i="16" s="1"/>
  <c r="S161" i="16"/>
  <c r="T161" i="16"/>
  <c r="W161" i="16"/>
  <c r="Y161" i="16"/>
  <c r="AA161" i="16"/>
  <c r="AD161" i="16"/>
  <c r="AE161" i="16"/>
  <c r="L324" i="2"/>
  <c r="M324" i="2"/>
  <c r="N324" i="2"/>
  <c r="O324" i="2"/>
  <c r="U158" i="16"/>
  <c r="X324" i="2"/>
  <c r="L325" i="2"/>
  <c r="M325" i="2"/>
  <c r="N325" i="2"/>
  <c r="O325" i="2"/>
  <c r="U159" i="16"/>
  <c r="X325" i="2"/>
  <c r="X159" i="16" s="1"/>
  <c r="L326" i="2"/>
  <c r="M326" i="2"/>
  <c r="N326" i="2"/>
  <c r="O326" i="2"/>
  <c r="U160" i="16"/>
  <c r="X326" i="2"/>
  <c r="Z160" i="16"/>
  <c r="L327" i="2"/>
  <c r="M327" i="2"/>
  <c r="N327" i="2"/>
  <c r="O327" i="2"/>
  <c r="U161" i="16"/>
  <c r="X327" i="2"/>
  <c r="X161" i="16" s="1"/>
  <c r="G324" i="2"/>
  <c r="H324" i="2"/>
  <c r="H158" i="16" s="1"/>
  <c r="G325" i="2"/>
  <c r="H325" i="2"/>
  <c r="H159" i="16" s="1"/>
  <c r="G326" i="2"/>
  <c r="H326" i="2"/>
  <c r="H160" i="16" s="1"/>
  <c r="G327" i="2"/>
  <c r="H327" i="2"/>
  <c r="H161" i="16" s="1"/>
  <c r="C64" i="20"/>
  <c r="D64" i="20"/>
  <c r="E64" i="20"/>
  <c r="F64" i="20"/>
  <c r="K64" i="20"/>
  <c r="L64" i="20" s="1"/>
  <c r="S64" i="20"/>
  <c r="T64" i="20"/>
  <c r="W64" i="20"/>
  <c r="AA64" i="20"/>
  <c r="AD64" i="20"/>
  <c r="AE64" i="20"/>
  <c r="L372" i="2"/>
  <c r="M372" i="2"/>
  <c r="N372" i="2"/>
  <c r="O372" i="2"/>
  <c r="U64" i="20"/>
  <c r="X372" i="2"/>
  <c r="Y372" i="2"/>
  <c r="Y64" i="20" s="1"/>
  <c r="Z64" i="20"/>
  <c r="G372" i="2"/>
  <c r="H372" i="2"/>
  <c r="H64" i="20" s="1"/>
  <c r="C42" i="14"/>
  <c r="D42" i="14"/>
  <c r="E42" i="14"/>
  <c r="F42" i="14"/>
  <c r="K42" i="14"/>
  <c r="L42" i="14" s="1"/>
  <c r="S42" i="14"/>
  <c r="T42" i="14"/>
  <c r="W42" i="14"/>
  <c r="X42" i="14"/>
  <c r="Y42" i="14"/>
  <c r="AA42" i="14"/>
  <c r="AD42" i="14"/>
  <c r="AE42" i="14"/>
  <c r="C43" i="14"/>
  <c r="D43" i="14"/>
  <c r="E43" i="14"/>
  <c r="F43" i="14"/>
  <c r="K43" i="14"/>
  <c r="O43" i="14" s="1"/>
  <c r="S43" i="14"/>
  <c r="T43" i="14"/>
  <c r="W43" i="14"/>
  <c r="X43" i="14"/>
  <c r="Y43" i="14"/>
  <c r="AA43" i="14"/>
  <c r="AD43" i="14"/>
  <c r="AE43" i="14"/>
  <c r="C44" i="14"/>
  <c r="D44" i="14"/>
  <c r="E44" i="14"/>
  <c r="F44" i="14"/>
  <c r="K44" i="14"/>
  <c r="L44" i="14" s="1"/>
  <c r="S44" i="14"/>
  <c r="T44" i="14"/>
  <c r="W44" i="14"/>
  <c r="X44" i="14"/>
  <c r="Y44" i="14"/>
  <c r="AA44" i="14"/>
  <c r="AD44" i="14"/>
  <c r="AE44" i="14"/>
  <c r="C45" i="14"/>
  <c r="D45" i="14"/>
  <c r="E45" i="14"/>
  <c r="F45" i="14"/>
  <c r="K45" i="14"/>
  <c r="O45" i="14" s="1"/>
  <c r="S45" i="14"/>
  <c r="T45" i="14"/>
  <c r="W45" i="14"/>
  <c r="X45" i="14"/>
  <c r="Y45" i="14"/>
  <c r="AA45" i="14"/>
  <c r="AD45" i="14"/>
  <c r="AE45" i="14"/>
  <c r="C46" i="14"/>
  <c r="D46" i="14"/>
  <c r="E46" i="14"/>
  <c r="F46" i="14"/>
  <c r="K46" i="14"/>
  <c r="L46" i="14" s="1"/>
  <c r="S46" i="14"/>
  <c r="T46" i="14"/>
  <c r="W46" i="14"/>
  <c r="X46" i="14"/>
  <c r="Y46" i="14"/>
  <c r="AA46" i="14"/>
  <c r="AD46" i="14"/>
  <c r="AE46" i="14"/>
  <c r="C47" i="14"/>
  <c r="D47" i="14"/>
  <c r="E47" i="14"/>
  <c r="F47" i="14"/>
  <c r="K47" i="14"/>
  <c r="O47" i="14" s="1"/>
  <c r="S47" i="14"/>
  <c r="T47" i="14"/>
  <c r="W47" i="14"/>
  <c r="X47" i="14"/>
  <c r="Y47" i="14"/>
  <c r="AA47" i="14"/>
  <c r="AD47" i="14"/>
  <c r="AE47" i="14"/>
  <c r="C48" i="14"/>
  <c r="D48" i="14"/>
  <c r="E48" i="14"/>
  <c r="F48" i="14"/>
  <c r="K48" i="14"/>
  <c r="L48" i="14" s="1"/>
  <c r="S48" i="14"/>
  <c r="T48" i="14"/>
  <c r="W48" i="14"/>
  <c r="X48" i="14"/>
  <c r="Y48" i="14"/>
  <c r="AA48" i="14"/>
  <c r="AD48" i="14"/>
  <c r="AE48" i="14"/>
  <c r="C49" i="14"/>
  <c r="D49" i="14"/>
  <c r="E49" i="14"/>
  <c r="F49" i="14"/>
  <c r="K49" i="14"/>
  <c r="O49" i="14" s="1"/>
  <c r="S49" i="14"/>
  <c r="T49" i="14"/>
  <c r="W49" i="14"/>
  <c r="X49" i="14"/>
  <c r="Y49" i="14"/>
  <c r="AA49" i="14"/>
  <c r="AD49" i="14"/>
  <c r="AE49" i="14"/>
  <c r="C50" i="14"/>
  <c r="D50" i="14"/>
  <c r="E50" i="14"/>
  <c r="F50" i="14"/>
  <c r="K50" i="14"/>
  <c r="L50" i="14" s="1"/>
  <c r="S50" i="14"/>
  <c r="T50" i="14"/>
  <c r="W50" i="14"/>
  <c r="X50" i="14"/>
  <c r="Y50" i="14"/>
  <c r="AA50" i="14"/>
  <c r="AD50" i="14"/>
  <c r="AE50" i="14"/>
  <c r="C51" i="14"/>
  <c r="D51" i="14"/>
  <c r="E51" i="14"/>
  <c r="F51" i="14"/>
  <c r="K51" i="14"/>
  <c r="L51" i="14" s="1"/>
  <c r="S51" i="14"/>
  <c r="T51" i="14"/>
  <c r="W51" i="14"/>
  <c r="X51" i="14"/>
  <c r="Y51" i="14"/>
  <c r="AA51" i="14"/>
  <c r="AD51" i="14"/>
  <c r="AE51" i="14"/>
  <c r="U42" i="14"/>
  <c r="AB268" i="2"/>
  <c r="U43" i="14"/>
  <c r="AB269" i="2"/>
  <c r="U44" i="14"/>
  <c r="Z44" i="14"/>
  <c r="U45" i="14"/>
  <c r="Z45" i="14"/>
  <c r="U46" i="14"/>
  <c r="Z46" i="14"/>
  <c r="U47" i="14"/>
  <c r="Z47" i="14"/>
  <c r="U48" i="14"/>
  <c r="Z48" i="14"/>
  <c r="U49" i="14"/>
  <c r="AB275" i="2"/>
  <c r="U50" i="14"/>
  <c r="AB276" i="2"/>
  <c r="U51" i="14"/>
  <c r="AB277" i="2"/>
  <c r="L268" i="2"/>
  <c r="M268" i="2"/>
  <c r="N268" i="2"/>
  <c r="O268" i="2"/>
  <c r="L269" i="2"/>
  <c r="M269" i="2"/>
  <c r="N269" i="2"/>
  <c r="O269" i="2"/>
  <c r="L270" i="2"/>
  <c r="M270" i="2"/>
  <c r="N270" i="2"/>
  <c r="O270" i="2"/>
  <c r="L271" i="2"/>
  <c r="M271" i="2"/>
  <c r="N271" i="2"/>
  <c r="O271" i="2"/>
  <c r="L272" i="2"/>
  <c r="M272" i="2"/>
  <c r="N272" i="2"/>
  <c r="O272" i="2"/>
  <c r="L273" i="2"/>
  <c r="M273" i="2"/>
  <c r="N273" i="2"/>
  <c r="O273" i="2"/>
  <c r="L274" i="2"/>
  <c r="M274" i="2"/>
  <c r="N274" i="2"/>
  <c r="O274" i="2"/>
  <c r="L275" i="2"/>
  <c r="M275" i="2"/>
  <c r="N275" i="2"/>
  <c r="O275" i="2"/>
  <c r="L276" i="2"/>
  <c r="M276" i="2"/>
  <c r="N276" i="2"/>
  <c r="O276" i="2"/>
  <c r="L277" i="2"/>
  <c r="M277" i="2"/>
  <c r="N277" i="2"/>
  <c r="O277" i="2"/>
  <c r="G268" i="2"/>
  <c r="G42" i="14" s="1"/>
  <c r="H268" i="2"/>
  <c r="H42" i="14" s="1"/>
  <c r="G269" i="2"/>
  <c r="G43" i="14" s="1"/>
  <c r="H269" i="2"/>
  <c r="H43" i="14" s="1"/>
  <c r="G270" i="2"/>
  <c r="G44" i="14" s="1"/>
  <c r="H270" i="2"/>
  <c r="H44" i="14" s="1"/>
  <c r="G271" i="2"/>
  <c r="H271" i="2"/>
  <c r="H45" i="14" s="1"/>
  <c r="G272" i="2"/>
  <c r="G46" i="14" s="1"/>
  <c r="H272" i="2"/>
  <c r="H46" i="14" s="1"/>
  <c r="G273" i="2"/>
  <c r="G47" i="14" s="1"/>
  <c r="H273" i="2"/>
  <c r="H47" i="14" s="1"/>
  <c r="G274" i="2"/>
  <c r="G48" i="14" s="1"/>
  <c r="H274" i="2"/>
  <c r="H48" i="14" s="1"/>
  <c r="G275" i="2"/>
  <c r="G49" i="14" s="1"/>
  <c r="H275" i="2"/>
  <c r="H49" i="14" s="1"/>
  <c r="G276" i="2"/>
  <c r="G50" i="14" s="1"/>
  <c r="H276" i="2"/>
  <c r="H50" i="14" s="1"/>
  <c r="G277" i="2"/>
  <c r="G51" i="14" s="1"/>
  <c r="H277" i="2"/>
  <c r="H51" i="14" s="1"/>
  <c r="F184" i="26" l="1"/>
  <c r="D183" i="26"/>
  <c r="E186" i="26"/>
  <c r="C180" i="26"/>
  <c r="C187" i="26"/>
  <c r="D182" i="26"/>
  <c r="D185" i="26"/>
  <c r="C182" i="26"/>
  <c r="E185" i="26"/>
  <c r="F183" i="26"/>
  <c r="C184" i="26"/>
  <c r="F186" i="26"/>
  <c r="E180" i="26"/>
  <c r="D187" i="26"/>
  <c r="D140" i="26"/>
  <c r="C185" i="26"/>
  <c r="D180" i="26"/>
  <c r="C186" i="26"/>
  <c r="D181" i="26"/>
  <c r="D188" i="26"/>
  <c r="D189" i="26"/>
  <c r="C188" i="26"/>
  <c r="C189" i="26"/>
  <c r="D186" i="26"/>
  <c r="C183" i="26"/>
  <c r="D184" i="26"/>
  <c r="C181" i="26"/>
  <c r="E184" i="26"/>
  <c r="F182" i="26"/>
  <c r="E183" i="26"/>
  <c r="F181" i="26"/>
  <c r="F187" i="26"/>
  <c r="E181" i="26"/>
  <c r="E187" i="26"/>
  <c r="F185" i="26"/>
  <c r="F188" i="26"/>
  <c r="F189" i="26"/>
  <c r="E182" i="26"/>
  <c r="F180" i="26"/>
  <c r="E188" i="26"/>
  <c r="E189" i="26"/>
  <c r="D141" i="26"/>
  <c r="E141" i="26"/>
  <c r="C142" i="26"/>
  <c r="C140" i="26"/>
  <c r="F142" i="26"/>
  <c r="F140" i="26"/>
  <c r="F141" i="26"/>
  <c r="E142" i="26"/>
  <c r="E140" i="26"/>
  <c r="C141" i="26"/>
  <c r="Z161" i="16"/>
  <c r="AB161" i="16" s="1"/>
  <c r="Z158" i="16"/>
  <c r="I201" i="2"/>
  <c r="Q324" i="2"/>
  <c r="J324" i="2" s="1"/>
  <c r="Q201" i="2"/>
  <c r="J201" i="2" s="1"/>
  <c r="G86" i="20"/>
  <c r="I86" i="20" s="1"/>
  <c r="Q372" i="2"/>
  <c r="J372" i="2" s="1"/>
  <c r="Q325" i="2"/>
  <c r="J325" i="2" s="1"/>
  <c r="Q131" i="2"/>
  <c r="J131" i="2" s="1"/>
  <c r="I325" i="2"/>
  <c r="I131" i="2"/>
  <c r="Q327" i="2"/>
  <c r="J327" i="2" s="1"/>
  <c r="Q326" i="2"/>
  <c r="J326" i="2" s="1"/>
  <c r="AB325" i="2"/>
  <c r="G35" i="30"/>
  <c r="I35" i="30" s="1"/>
  <c r="AB201" i="2"/>
  <c r="Z86" i="20"/>
  <c r="AB86" i="20" s="1"/>
  <c r="L86" i="20"/>
  <c r="O86" i="20"/>
  <c r="N86" i="20"/>
  <c r="I324" i="2"/>
  <c r="AB324" i="2"/>
  <c r="AB131" i="2"/>
  <c r="AB327" i="2"/>
  <c r="AB35" i="30"/>
  <c r="O35" i="30"/>
  <c r="N35" i="30"/>
  <c r="M35" i="30"/>
  <c r="I327" i="2"/>
  <c r="AB326" i="2"/>
  <c r="G161" i="16"/>
  <c r="I161" i="16" s="1"/>
  <c r="I326" i="2"/>
  <c r="X160" i="16"/>
  <c r="AB160" i="16" s="1"/>
  <c r="G160" i="16"/>
  <c r="I160" i="16" s="1"/>
  <c r="Z159" i="16"/>
  <c r="AB159" i="16" s="1"/>
  <c r="G159" i="16"/>
  <c r="I159" i="16" s="1"/>
  <c r="X158" i="16"/>
  <c r="G158" i="16"/>
  <c r="I158" i="16" s="1"/>
  <c r="O159" i="16"/>
  <c r="N159" i="16"/>
  <c r="N161" i="16"/>
  <c r="M161" i="16"/>
  <c r="M159" i="16"/>
  <c r="L161" i="16"/>
  <c r="O160" i="16"/>
  <c r="O158" i="16"/>
  <c r="N160" i="16"/>
  <c r="N158" i="16"/>
  <c r="M160" i="16"/>
  <c r="M158" i="16"/>
  <c r="AB274" i="2"/>
  <c r="N51" i="14"/>
  <c r="AB372" i="2"/>
  <c r="AB273" i="2"/>
  <c r="I48" i="14"/>
  <c r="I44" i="14"/>
  <c r="X64" i="20"/>
  <c r="AB64" i="20" s="1"/>
  <c r="I43" i="14"/>
  <c r="I372" i="2"/>
  <c r="Z50" i="14"/>
  <c r="AB50" i="14" s="1"/>
  <c r="I47" i="14"/>
  <c r="G64" i="20"/>
  <c r="I64" i="20" s="1"/>
  <c r="Q275" i="2"/>
  <c r="J275" i="2" s="1"/>
  <c r="Q271" i="2"/>
  <c r="J271" i="2" s="1"/>
  <c r="O64" i="20"/>
  <c r="N64" i="20"/>
  <c r="M64" i="20"/>
  <c r="I46" i="14"/>
  <c r="I42" i="14"/>
  <c r="I50" i="14"/>
  <c r="I49" i="14"/>
  <c r="I275" i="2"/>
  <c r="I271" i="2"/>
  <c r="AB44" i="14"/>
  <c r="AB270" i="2"/>
  <c r="N47" i="14"/>
  <c r="AB45" i="14"/>
  <c r="G45" i="14"/>
  <c r="I45" i="14" s="1"/>
  <c r="I51" i="14"/>
  <c r="Q274" i="2"/>
  <c r="J274" i="2" s="1"/>
  <c r="Q270" i="2"/>
  <c r="J270" i="2" s="1"/>
  <c r="AB272" i="2"/>
  <c r="AB46" i="14"/>
  <c r="Z43" i="14"/>
  <c r="AB43" i="14" s="1"/>
  <c r="N43" i="14"/>
  <c r="Q277" i="2"/>
  <c r="J277" i="2" s="1"/>
  <c r="Q273" i="2"/>
  <c r="J273" i="2" s="1"/>
  <c r="Q269" i="2"/>
  <c r="J269" i="2" s="1"/>
  <c r="Z49" i="14"/>
  <c r="AB49" i="14" s="1"/>
  <c r="N49" i="14"/>
  <c r="AB47" i="14"/>
  <c r="Q276" i="2"/>
  <c r="J276" i="2" s="1"/>
  <c r="Q272" i="2"/>
  <c r="J272" i="2" s="1"/>
  <c r="Q268" i="2"/>
  <c r="J268" i="2" s="1"/>
  <c r="AB271" i="2"/>
  <c r="Z51" i="14"/>
  <c r="AB51" i="14" s="1"/>
  <c r="O51" i="14"/>
  <c r="AB48" i="14"/>
  <c r="N45" i="14"/>
  <c r="Z42" i="14"/>
  <c r="AB42" i="14" s="1"/>
  <c r="M51" i="14"/>
  <c r="M49" i="14"/>
  <c r="M47" i="14"/>
  <c r="M45" i="14"/>
  <c r="M43" i="14"/>
  <c r="L49" i="14"/>
  <c r="L47" i="14"/>
  <c r="L45" i="14"/>
  <c r="L43" i="14"/>
  <c r="O48" i="14"/>
  <c r="O46" i="14"/>
  <c r="O44" i="14"/>
  <c r="O42" i="14"/>
  <c r="N48" i="14"/>
  <c r="N46" i="14"/>
  <c r="N44" i="14"/>
  <c r="N42" i="14"/>
  <c r="M50" i="14"/>
  <c r="M48" i="14"/>
  <c r="M46" i="14"/>
  <c r="M44" i="14"/>
  <c r="M42" i="14"/>
  <c r="O50" i="14"/>
  <c r="N50" i="14"/>
  <c r="I274" i="2"/>
  <c r="I270" i="2"/>
  <c r="I276" i="2"/>
  <c r="I277" i="2"/>
  <c r="I273" i="2"/>
  <c r="I269" i="2"/>
  <c r="I272" i="2"/>
  <c r="I268" i="2"/>
  <c r="AB158" i="16" l="1"/>
  <c r="R201" i="2"/>
  <c r="R86" i="20" s="1"/>
  <c r="V86" i="20" s="1"/>
  <c r="AC86" i="20" s="1"/>
  <c r="R324" i="2"/>
  <c r="R325" i="2"/>
  <c r="V325" i="2" s="1"/>
  <c r="AC325" i="2" s="1"/>
  <c r="R275" i="2"/>
  <c r="V275" i="2" s="1"/>
  <c r="AC275" i="2" s="1"/>
  <c r="R327" i="2"/>
  <c r="V327" i="2" s="1"/>
  <c r="AC327" i="2" s="1"/>
  <c r="R131" i="2"/>
  <c r="V131" i="2" s="1"/>
  <c r="AC131" i="2" s="1"/>
  <c r="Q86" i="20"/>
  <c r="Q35" i="30"/>
  <c r="J35" i="30" s="1"/>
  <c r="R372" i="2"/>
  <c r="R64" i="20" s="1"/>
  <c r="V64" i="20" s="1"/>
  <c r="AC64" i="20" s="1"/>
  <c r="Q159" i="16"/>
  <c r="J159" i="16" s="1"/>
  <c r="Q160" i="16"/>
  <c r="J160" i="16" s="1"/>
  <c r="R326" i="2"/>
  <c r="Q161" i="16"/>
  <c r="J161" i="16" s="1"/>
  <c r="Q158" i="16"/>
  <c r="R270" i="2"/>
  <c r="V270" i="2" s="1"/>
  <c r="AC270" i="2" s="1"/>
  <c r="R271" i="2"/>
  <c r="V271" i="2" s="1"/>
  <c r="AC271" i="2" s="1"/>
  <c r="Q51" i="14"/>
  <c r="J51" i="14" s="1"/>
  <c r="Q64" i="20"/>
  <c r="Q48" i="14"/>
  <c r="J48" i="14" s="1"/>
  <c r="Q49" i="14"/>
  <c r="J49" i="14" s="1"/>
  <c r="Q44" i="14"/>
  <c r="J44" i="14" s="1"/>
  <c r="Q46" i="14"/>
  <c r="J46" i="14" s="1"/>
  <c r="Q47" i="14"/>
  <c r="J47" i="14" s="1"/>
  <c r="Q50" i="14"/>
  <c r="J50" i="14" s="1"/>
  <c r="Q43" i="14"/>
  <c r="J43" i="14" s="1"/>
  <c r="Q45" i="14"/>
  <c r="J45" i="14" s="1"/>
  <c r="Q42" i="14"/>
  <c r="R268" i="2"/>
  <c r="R42" i="14" s="1"/>
  <c r="V42" i="14" s="1"/>
  <c r="AC42" i="14" s="1"/>
  <c r="R274" i="2"/>
  <c r="R272" i="2"/>
  <c r="R276" i="2"/>
  <c r="R273" i="2"/>
  <c r="R269" i="2"/>
  <c r="R277" i="2"/>
  <c r="V201" i="2" l="1"/>
  <c r="AC201" i="2" s="1"/>
  <c r="R49" i="14"/>
  <c r="V49" i="14" s="1"/>
  <c r="AC49" i="14" s="1"/>
  <c r="R161" i="16"/>
  <c r="V161" i="16" s="1"/>
  <c r="AC161" i="16" s="1"/>
  <c r="V324" i="2"/>
  <c r="AC324" i="2" s="1"/>
  <c r="R158" i="16"/>
  <c r="V158" i="16" s="1"/>
  <c r="AC158" i="16" s="1"/>
  <c r="R35" i="30"/>
  <c r="V35" i="30" s="1"/>
  <c r="AC35" i="30" s="1"/>
  <c r="G217" i="26" s="1"/>
  <c r="R159" i="16"/>
  <c r="V159" i="16" s="1"/>
  <c r="AC159" i="16" s="1"/>
  <c r="V372" i="2"/>
  <c r="AC372" i="2" s="1"/>
  <c r="J86" i="20"/>
  <c r="R44" i="14"/>
  <c r="V44" i="14" s="1"/>
  <c r="AC44" i="14" s="1"/>
  <c r="R45" i="14"/>
  <c r="V45" i="14" s="1"/>
  <c r="AC45" i="14" s="1"/>
  <c r="V326" i="2"/>
  <c r="AC326" i="2" s="1"/>
  <c r="R160" i="16"/>
  <c r="V160" i="16" s="1"/>
  <c r="AC160" i="16" s="1"/>
  <c r="J158" i="16"/>
  <c r="J64" i="20"/>
  <c r="V268" i="2"/>
  <c r="AC268" i="2" s="1"/>
  <c r="V277" i="2"/>
  <c r="AC277" i="2" s="1"/>
  <c r="R51" i="14"/>
  <c r="V51" i="14" s="1"/>
  <c r="AC51" i="14" s="1"/>
  <c r="V269" i="2"/>
  <c r="AC269" i="2" s="1"/>
  <c r="R43" i="14"/>
  <c r="V43" i="14" s="1"/>
  <c r="AC43" i="14" s="1"/>
  <c r="G180" i="26" s="1"/>
  <c r="V273" i="2"/>
  <c r="AC273" i="2" s="1"/>
  <c r="R47" i="14"/>
  <c r="V47" i="14" s="1"/>
  <c r="AC47" i="14" s="1"/>
  <c r="V276" i="2"/>
  <c r="AC276" i="2" s="1"/>
  <c r="R50" i="14"/>
  <c r="V50" i="14" s="1"/>
  <c r="AC50" i="14" s="1"/>
  <c r="G187" i="26" s="1"/>
  <c r="V272" i="2"/>
  <c r="AC272" i="2" s="1"/>
  <c r="R46" i="14"/>
  <c r="V46" i="14" s="1"/>
  <c r="AC46" i="14" s="1"/>
  <c r="V274" i="2"/>
  <c r="AC274" i="2" s="1"/>
  <c r="R48" i="14"/>
  <c r="V48" i="14" s="1"/>
  <c r="AC48" i="14" s="1"/>
  <c r="J42" i="14"/>
  <c r="G182" i="26" l="1"/>
  <c r="G184" i="26"/>
  <c r="G183" i="26"/>
  <c r="G188" i="26"/>
  <c r="G189" i="26"/>
  <c r="G186" i="26"/>
  <c r="G181" i="26"/>
  <c r="G185" i="26"/>
  <c r="G140" i="26"/>
  <c r="G141" i="26"/>
  <c r="G142" i="26"/>
  <c r="F62" i="17" l="1"/>
  <c r="C8" i="23"/>
  <c r="C20" i="30" l="1"/>
  <c r="E20" i="30"/>
  <c r="F20" i="30"/>
  <c r="H20" i="30"/>
  <c r="S20" i="30"/>
  <c r="T20" i="30"/>
  <c r="W20" i="30"/>
  <c r="AA20" i="30"/>
  <c r="AD20" i="30"/>
  <c r="AE20" i="30"/>
  <c r="C21" i="30"/>
  <c r="E21" i="30"/>
  <c r="F21" i="30"/>
  <c r="H21" i="30"/>
  <c r="S21" i="30"/>
  <c r="T21" i="30"/>
  <c r="W21" i="30"/>
  <c r="AA21" i="30"/>
  <c r="AD21" i="30"/>
  <c r="AE21" i="30"/>
  <c r="C22" i="30"/>
  <c r="E22" i="30"/>
  <c r="F22" i="30"/>
  <c r="H22" i="30"/>
  <c r="S22" i="30"/>
  <c r="T22" i="30"/>
  <c r="U22" i="30"/>
  <c r="W22" i="30"/>
  <c r="AA22" i="30"/>
  <c r="AD22" i="30"/>
  <c r="AE22" i="30"/>
  <c r="C23" i="30"/>
  <c r="C205" i="26" s="1"/>
  <c r="E23" i="30"/>
  <c r="E205" i="26" s="1"/>
  <c r="F23" i="30"/>
  <c r="H23" i="30"/>
  <c r="S23" i="30"/>
  <c r="T23" i="30"/>
  <c r="W23" i="30"/>
  <c r="AA23" i="30"/>
  <c r="AD23" i="30"/>
  <c r="AE23" i="30"/>
  <c r="F205" i="26" s="1"/>
  <c r="C24" i="30"/>
  <c r="C206" i="26" s="1"/>
  <c r="E24" i="30"/>
  <c r="E206" i="26" s="1"/>
  <c r="F24" i="30"/>
  <c r="H24" i="30"/>
  <c r="S24" i="30"/>
  <c r="T24" i="30"/>
  <c r="W24" i="30"/>
  <c r="AA24" i="30"/>
  <c r="AD24" i="30"/>
  <c r="AE24" i="30"/>
  <c r="F206" i="26" s="1"/>
  <c r="C25" i="30"/>
  <c r="C207" i="26" s="1"/>
  <c r="E25" i="30"/>
  <c r="E207" i="26" s="1"/>
  <c r="F25" i="30"/>
  <c r="H25" i="30"/>
  <c r="S25" i="30"/>
  <c r="T25" i="30"/>
  <c r="W25" i="30"/>
  <c r="AA25" i="30"/>
  <c r="AD25" i="30"/>
  <c r="AE25" i="30"/>
  <c r="F207" i="26" s="1"/>
  <c r="C19" i="30"/>
  <c r="C200" i="26" s="1"/>
  <c r="E19" i="30"/>
  <c r="E200" i="26" s="1"/>
  <c r="F19" i="30"/>
  <c r="H19" i="30"/>
  <c r="S19" i="30"/>
  <c r="T19" i="30"/>
  <c r="W19" i="30"/>
  <c r="AA19" i="30"/>
  <c r="AD19" i="30"/>
  <c r="AE19" i="30"/>
  <c r="F200" i="26" s="1"/>
  <c r="AE17" i="30"/>
  <c r="F199" i="26" s="1"/>
  <c r="AD17" i="30"/>
  <c r="AA17" i="30"/>
  <c r="W17" i="30"/>
  <c r="T17" i="30"/>
  <c r="S17" i="30"/>
  <c r="H17" i="30"/>
  <c r="F17" i="30"/>
  <c r="E17" i="30"/>
  <c r="E199" i="26" s="1"/>
  <c r="C17" i="30"/>
  <c r="C199" i="26" s="1"/>
  <c r="C54" i="16"/>
  <c r="E54" i="16"/>
  <c r="F54" i="16"/>
  <c r="S54" i="16"/>
  <c r="T54" i="16"/>
  <c r="W54" i="16"/>
  <c r="AA54" i="16"/>
  <c r="AD54" i="16"/>
  <c r="AE54" i="16"/>
  <c r="C55" i="16"/>
  <c r="E55" i="16"/>
  <c r="F55" i="16"/>
  <c r="S55" i="16"/>
  <c r="T55" i="16"/>
  <c r="W55" i="16"/>
  <c r="AA55" i="16"/>
  <c r="AD55" i="16"/>
  <c r="AE55" i="16"/>
  <c r="C56" i="16"/>
  <c r="E56" i="16"/>
  <c r="F56" i="16"/>
  <c r="S56" i="16"/>
  <c r="T56" i="16"/>
  <c r="W56" i="16"/>
  <c r="AA56" i="16"/>
  <c r="AD56" i="16"/>
  <c r="AE56" i="16"/>
  <c r="C57" i="16"/>
  <c r="E57" i="16"/>
  <c r="F57" i="16"/>
  <c r="S57" i="16"/>
  <c r="T57" i="16"/>
  <c r="W57" i="16"/>
  <c r="AA57" i="16"/>
  <c r="AD57" i="16"/>
  <c r="AE57" i="16"/>
  <c r="C58" i="16"/>
  <c r="E58" i="16"/>
  <c r="F58" i="16"/>
  <c r="S58" i="16"/>
  <c r="T58" i="16"/>
  <c r="W58" i="16"/>
  <c r="AA58" i="16"/>
  <c r="AD58" i="16"/>
  <c r="AE58" i="16"/>
  <c r="C59" i="16"/>
  <c r="E59" i="16"/>
  <c r="F59" i="16"/>
  <c r="S59" i="16"/>
  <c r="T59" i="16"/>
  <c r="W59" i="16"/>
  <c r="AA59" i="16"/>
  <c r="AD59" i="16"/>
  <c r="AE59" i="16"/>
  <c r="C60" i="16"/>
  <c r="E60" i="16"/>
  <c r="F60" i="16"/>
  <c r="S60" i="16"/>
  <c r="T60" i="16"/>
  <c r="W60" i="16"/>
  <c r="AA60" i="16"/>
  <c r="AD60" i="16"/>
  <c r="AE60" i="16"/>
  <c r="C61" i="16"/>
  <c r="E61" i="16"/>
  <c r="F61" i="16"/>
  <c r="S61" i="16"/>
  <c r="T61" i="16"/>
  <c r="W61" i="16"/>
  <c r="AA61" i="16"/>
  <c r="AD61" i="16"/>
  <c r="AE61" i="16"/>
  <c r="C62" i="16"/>
  <c r="E62" i="16"/>
  <c r="F62" i="16"/>
  <c r="S62" i="16"/>
  <c r="T62" i="16"/>
  <c r="W62" i="16"/>
  <c r="AA62" i="16"/>
  <c r="AD62" i="16"/>
  <c r="AE62" i="16"/>
  <c r="C63" i="16"/>
  <c r="E63" i="16"/>
  <c r="F63" i="16"/>
  <c r="S63" i="16"/>
  <c r="T63" i="16"/>
  <c r="W63" i="16"/>
  <c r="AA63" i="16"/>
  <c r="AD63" i="16"/>
  <c r="AE63" i="16"/>
  <c r="C64" i="16"/>
  <c r="E64" i="16"/>
  <c r="F64" i="16"/>
  <c r="S64" i="16"/>
  <c r="T64" i="16"/>
  <c r="W64" i="16"/>
  <c r="AA64" i="16"/>
  <c r="AD64" i="16"/>
  <c r="AE64" i="16"/>
  <c r="C65" i="16"/>
  <c r="E65" i="16"/>
  <c r="F65" i="16"/>
  <c r="S65" i="16"/>
  <c r="T65" i="16"/>
  <c r="W65" i="16"/>
  <c r="AA65" i="16"/>
  <c r="AD65" i="16"/>
  <c r="AE65" i="16"/>
  <c r="C66" i="16"/>
  <c r="E66" i="16"/>
  <c r="F66" i="16"/>
  <c r="S66" i="16"/>
  <c r="T66" i="16"/>
  <c r="W66" i="16"/>
  <c r="AA66" i="16"/>
  <c r="AD66" i="16"/>
  <c r="AE66" i="16"/>
  <c r="C67" i="16"/>
  <c r="E67" i="16"/>
  <c r="F67" i="16"/>
  <c r="S67" i="16"/>
  <c r="T67" i="16"/>
  <c r="W67" i="16"/>
  <c r="AA67" i="16"/>
  <c r="AD67" i="16"/>
  <c r="AE67" i="16"/>
  <c r="C68" i="16"/>
  <c r="E68" i="16"/>
  <c r="F68" i="16"/>
  <c r="S68" i="16"/>
  <c r="T68" i="16"/>
  <c r="W68" i="16"/>
  <c r="AA68" i="16"/>
  <c r="AD68" i="16"/>
  <c r="AE68" i="16"/>
  <c r="C69" i="16"/>
  <c r="E69" i="16"/>
  <c r="F69" i="16"/>
  <c r="S69" i="16"/>
  <c r="T69" i="16"/>
  <c r="W69" i="16"/>
  <c r="AA69" i="16"/>
  <c r="AD69" i="16"/>
  <c r="AE69" i="16"/>
  <c r="C70" i="16"/>
  <c r="E70" i="16"/>
  <c r="F70" i="16"/>
  <c r="S70" i="16"/>
  <c r="T70" i="16"/>
  <c r="W70" i="16"/>
  <c r="AA70" i="16"/>
  <c r="AD70" i="16"/>
  <c r="AE70" i="16"/>
  <c r="C71" i="16"/>
  <c r="E71" i="16"/>
  <c r="F71" i="16"/>
  <c r="S71" i="16"/>
  <c r="T71" i="16"/>
  <c r="W71" i="16"/>
  <c r="AA71" i="16"/>
  <c r="AD71" i="16"/>
  <c r="AE71" i="16"/>
  <c r="C72" i="16"/>
  <c r="E72" i="16"/>
  <c r="F72" i="16"/>
  <c r="S72" i="16"/>
  <c r="T72" i="16"/>
  <c r="W72" i="16"/>
  <c r="AA72" i="16"/>
  <c r="AD72" i="16"/>
  <c r="AE72" i="16"/>
  <c r="C73" i="16"/>
  <c r="E73" i="16"/>
  <c r="F73" i="16"/>
  <c r="S73" i="16"/>
  <c r="T73" i="16"/>
  <c r="W73" i="16"/>
  <c r="AA73" i="16"/>
  <c r="AD73" i="16"/>
  <c r="AE73" i="16"/>
  <c r="C74" i="16"/>
  <c r="E74" i="16"/>
  <c r="F74" i="16"/>
  <c r="S74" i="16"/>
  <c r="T74" i="16"/>
  <c r="W74" i="16"/>
  <c r="AA74" i="16"/>
  <c r="AD74" i="16"/>
  <c r="AE74" i="16"/>
  <c r="C116" i="16"/>
  <c r="E116" i="16"/>
  <c r="F116" i="16"/>
  <c r="S116" i="16"/>
  <c r="T116" i="16"/>
  <c r="W116" i="16"/>
  <c r="AA116" i="16"/>
  <c r="AD116" i="16"/>
  <c r="AE116" i="16"/>
  <c r="C117" i="16"/>
  <c r="E117" i="16"/>
  <c r="F117" i="16"/>
  <c r="S117" i="16"/>
  <c r="T117" i="16"/>
  <c r="W117" i="16"/>
  <c r="AA117" i="16"/>
  <c r="AD117" i="16"/>
  <c r="AE117" i="16"/>
  <c r="C113" i="16"/>
  <c r="E113" i="16"/>
  <c r="F113" i="16"/>
  <c r="S113" i="16"/>
  <c r="T113" i="16"/>
  <c r="W113" i="16"/>
  <c r="AA113" i="16"/>
  <c r="AD113" i="16"/>
  <c r="AE113" i="16"/>
  <c r="S174" i="16"/>
  <c r="T174" i="16"/>
  <c r="W174" i="16"/>
  <c r="AA174" i="16"/>
  <c r="AD174" i="16"/>
  <c r="AE174" i="16"/>
  <c r="F174" i="16"/>
  <c r="C174" i="16"/>
  <c r="E174" i="16"/>
  <c r="P178" i="16"/>
  <c r="AE177" i="16"/>
  <c r="AD177" i="16"/>
  <c r="AA177" i="16"/>
  <c r="W177" i="16"/>
  <c r="T177" i="16"/>
  <c r="S177" i="16"/>
  <c r="F177" i="16"/>
  <c r="E177" i="16"/>
  <c r="D177" i="16"/>
  <c r="C177" i="16"/>
  <c r="AE176" i="16"/>
  <c r="AD176" i="16"/>
  <c r="AA176" i="16"/>
  <c r="W176" i="16"/>
  <c r="T176" i="16"/>
  <c r="S176" i="16"/>
  <c r="F176" i="16"/>
  <c r="E176" i="16"/>
  <c r="C176" i="16"/>
  <c r="AE175" i="16"/>
  <c r="AD175" i="16"/>
  <c r="AA175" i="16"/>
  <c r="W175" i="16"/>
  <c r="T175" i="16"/>
  <c r="S175" i="16"/>
  <c r="F175" i="16"/>
  <c r="E175" i="16"/>
  <c r="C175" i="16"/>
  <c r="AE173" i="16"/>
  <c r="AD173" i="16"/>
  <c r="AA173" i="16"/>
  <c r="W173" i="16"/>
  <c r="T173" i="16"/>
  <c r="S173" i="16"/>
  <c r="F173" i="16"/>
  <c r="E173" i="16"/>
  <c r="C173" i="16"/>
  <c r="C169" i="16"/>
  <c r="E169" i="16"/>
  <c r="F169" i="16"/>
  <c r="S169" i="16"/>
  <c r="T169" i="16"/>
  <c r="W169" i="16"/>
  <c r="AA169" i="16"/>
  <c r="AD169" i="16"/>
  <c r="AE169" i="16"/>
  <c r="P171" i="16"/>
  <c r="AE170" i="16"/>
  <c r="AD170" i="16"/>
  <c r="AA170" i="16"/>
  <c r="W170" i="16"/>
  <c r="T170" i="16"/>
  <c r="S170" i="16"/>
  <c r="F170" i="16"/>
  <c r="E170" i="16"/>
  <c r="C170" i="16"/>
  <c r="AE168" i="16"/>
  <c r="AD168" i="16"/>
  <c r="AA168" i="16"/>
  <c r="W168" i="16"/>
  <c r="T168" i="16"/>
  <c r="S168" i="16"/>
  <c r="F168" i="16"/>
  <c r="E168" i="16"/>
  <c r="D168" i="16"/>
  <c r="C168" i="16"/>
  <c r="AE167" i="16"/>
  <c r="F143" i="26" s="1"/>
  <c r="AD167" i="16"/>
  <c r="AA167" i="16"/>
  <c r="W167" i="16"/>
  <c r="T167" i="16"/>
  <c r="S167" i="16"/>
  <c r="F167" i="16"/>
  <c r="E167" i="16"/>
  <c r="E143" i="26" s="1"/>
  <c r="D167" i="16"/>
  <c r="D143" i="26" s="1"/>
  <c r="C167" i="16"/>
  <c r="C143" i="26" s="1"/>
  <c r="C88" i="16"/>
  <c r="E88" i="16"/>
  <c r="F88" i="16"/>
  <c r="S88" i="16"/>
  <c r="T88" i="16"/>
  <c r="W88" i="16"/>
  <c r="AA88" i="16"/>
  <c r="AD88" i="16"/>
  <c r="AE88" i="16"/>
  <c r="C91" i="16"/>
  <c r="E91" i="16"/>
  <c r="F91" i="16"/>
  <c r="S91" i="16"/>
  <c r="T91" i="16"/>
  <c r="W91" i="16"/>
  <c r="AA91" i="16"/>
  <c r="AD91" i="16"/>
  <c r="AE91" i="16"/>
  <c r="D144" i="26" l="1"/>
  <c r="C149" i="26"/>
  <c r="C150" i="26"/>
  <c r="C146" i="26"/>
  <c r="C151" i="26"/>
  <c r="F202" i="26"/>
  <c r="E202" i="26"/>
  <c r="C202" i="26"/>
  <c r="C145" i="26"/>
  <c r="C144" i="26"/>
  <c r="C147" i="26"/>
  <c r="C148" i="26"/>
  <c r="F144" i="26"/>
  <c r="E144" i="26"/>
  <c r="E149" i="26"/>
  <c r="F150" i="26"/>
  <c r="F148" i="26"/>
  <c r="E203" i="26"/>
  <c r="E204" i="26"/>
  <c r="F149" i="26"/>
  <c r="F146" i="26"/>
  <c r="E150" i="26"/>
  <c r="C203" i="26"/>
  <c r="C204" i="26"/>
  <c r="E146" i="26"/>
  <c r="F151" i="26"/>
  <c r="E145" i="26"/>
  <c r="E151" i="26"/>
  <c r="F145" i="26"/>
  <c r="F201" i="26"/>
  <c r="E201" i="26"/>
  <c r="E147" i="26"/>
  <c r="F203" i="26"/>
  <c r="F204" i="26"/>
  <c r="E148" i="26"/>
  <c r="C201" i="26"/>
  <c r="F147" i="26"/>
  <c r="W36" i="30"/>
  <c r="AA36" i="30"/>
  <c r="S36" i="30"/>
  <c r="T36" i="30"/>
  <c r="S178" i="16"/>
  <c r="AA178" i="16"/>
  <c r="T178" i="16"/>
  <c r="W178" i="16"/>
  <c r="W171" i="16"/>
  <c r="AA171" i="16"/>
  <c r="S171" i="16"/>
  <c r="T171" i="16"/>
  <c r="P23" i="14"/>
  <c r="P9" i="20"/>
  <c r="P25" i="20"/>
  <c r="P74" i="20"/>
  <c r="P77" i="20"/>
  <c r="P23" i="16"/>
  <c r="C21" i="14"/>
  <c r="D21" i="14"/>
  <c r="E21" i="14"/>
  <c r="F21" i="14"/>
  <c r="S21" i="14"/>
  <c r="T21" i="14"/>
  <c r="W21" i="14"/>
  <c r="AA21" i="14"/>
  <c r="AD21" i="14"/>
  <c r="AE21" i="14"/>
  <c r="C22" i="16"/>
  <c r="E22" i="16"/>
  <c r="F22" i="16"/>
  <c r="S22" i="16"/>
  <c r="T22" i="16"/>
  <c r="W22" i="16"/>
  <c r="AA22" i="16"/>
  <c r="AD22" i="16"/>
  <c r="AE22" i="16"/>
  <c r="C21" i="16"/>
  <c r="E21" i="16"/>
  <c r="F21" i="16"/>
  <c r="S21" i="16"/>
  <c r="T21" i="16"/>
  <c r="W21" i="16"/>
  <c r="AA21" i="16"/>
  <c r="AD21" i="16"/>
  <c r="AE21" i="16"/>
  <c r="AE20" i="16"/>
  <c r="AD20" i="16"/>
  <c r="AA20" i="16"/>
  <c r="W20" i="16"/>
  <c r="T20" i="16"/>
  <c r="S20" i="16"/>
  <c r="F20" i="16"/>
  <c r="E20" i="16"/>
  <c r="C20" i="16"/>
  <c r="C15" i="16"/>
  <c r="E15" i="16"/>
  <c r="F15" i="16"/>
  <c r="S15" i="16"/>
  <c r="T15" i="16"/>
  <c r="W15" i="16"/>
  <c r="AA15" i="16"/>
  <c r="AD15" i="16"/>
  <c r="AE15" i="16"/>
  <c r="C14" i="16"/>
  <c r="E14" i="16"/>
  <c r="F14" i="16"/>
  <c r="S14" i="16"/>
  <c r="T14" i="16"/>
  <c r="W14" i="16"/>
  <c r="AA14" i="16"/>
  <c r="AD14" i="16"/>
  <c r="AE14" i="16"/>
  <c r="C8" i="16"/>
  <c r="E8" i="16"/>
  <c r="F8" i="16"/>
  <c r="S8" i="16"/>
  <c r="T8" i="16"/>
  <c r="W8" i="16"/>
  <c r="AA8" i="16"/>
  <c r="AD8" i="16"/>
  <c r="AE8" i="16"/>
  <c r="AE8" i="20"/>
  <c r="F7" i="38" s="1"/>
  <c r="AD8" i="20"/>
  <c r="AA8" i="20"/>
  <c r="AA9" i="20" s="1"/>
  <c r="W8" i="20"/>
  <c r="W9" i="20" s="1"/>
  <c r="T8" i="20"/>
  <c r="T9" i="20" s="1"/>
  <c r="S8" i="20"/>
  <c r="S9" i="20" s="1"/>
  <c r="K8" i="20"/>
  <c r="O8" i="20" s="1"/>
  <c r="O9" i="20" s="1"/>
  <c r="F8" i="20"/>
  <c r="E8" i="20"/>
  <c r="E7" i="38" s="1"/>
  <c r="C8" i="20"/>
  <c r="C7" i="38" s="1"/>
  <c r="P89" i="20" l="1"/>
  <c r="AA23" i="16"/>
  <c r="K9" i="20"/>
  <c r="S23" i="16"/>
  <c r="T23" i="16"/>
  <c r="W23" i="16"/>
  <c r="M8" i="20"/>
  <c r="M9" i="20" s="1"/>
  <c r="N8" i="20"/>
  <c r="N9" i="20" s="1"/>
  <c r="L8" i="20"/>
  <c r="L9" i="20" s="1"/>
  <c r="T216" i="2"/>
  <c r="T226" i="2" s="1"/>
  <c r="Z60" i="20"/>
  <c r="Z61" i="20"/>
  <c r="Z62" i="20"/>
  <c r="Z63" i="20"/>
  <c r="Z37" i="14"/>
  <c r="Z39" i="14"/>
  <c r="Z40" i="14"/>
  <c r="Z41" i="14"/>
  <c r="Z166" i="2"/>
  <c r="Z101" i="16" s="1"/>
  <c r="Z113" i="16"/>
  <c r="Z116" i="16"/>
  <c r="Z117" i="16"/>
  <c r="Z142" i="2"/>
  <c r="Z67" i="16"/>
  <c r="Z25" i="30"/>
  <c r="Z34" i="30"/>
  <c r="Z69" i="16"/>
  <c r="Z70" i="16"/>
  <c r="Z71" i="16"/>
  <c r="Z33" i="30"/>
  <c r="Z72" i="16"/>
  <c r="Z73" i="16"/>
  <c r="Z79" i="2"/>
  <c r="Z80" i="2"/>
  <c r="Z81" i="2"/>
  <c r="Z82" i="2"/>
  <c r="Z83" i="2"/>
  <c r="Z84" i="2"/>
  <c r="Z85" i="2"/>
  <c r="Z86" i="2"/>
  <c r="Z87" i="2"/>
  <c r="Z31" i="30"/>
  <c r="Z65" i="16"/>
  <c r="Z66" i="16"/>
  <c r="Z75" i="2"/>
  <c r="Z76" i="2"/>
  <c r="Z77" i="2"/>
  <c r="Z78" i="2"/>
  <c r="Z23" i="30" s="1"/>
  <c r="Z67" i="2"/>
  <c r="Z68" i="2"/>
  <c r="Z69" i="2"/>
  <c r="Z70" i="2"/>
  <c r="Z71" i="2"/>
  <c r="Z72" i="2"/>
  <c r="Z61" i="16" s="1"/>
  <c r="Z73" i="2"/>
  <c r="Z74" i="2"/>
  <c r="Z59" i="2"/>
  <c r="Z60" i="2"/>
  <c r="Z61" i="2"/>
  <c r="Z62" i="2"/>
  <c r="Z63" i="2"/>
  <c r="Z64" i="2"/>
  <c r="Z65" i="2"/>
  <c r="Z22" i="30" s="1"/>
  <c r="Z66" i="2"/>
  <c r="Z53" i="2"/>
  <c r="Z54" i="2"/>
  <c r="Z56" i="16" s="1"/>
  <c r="Z55" i="2"/>
  <c r="Z56" i="2"/>
  <c r="Z57" i="2"/>
  <c r="Z58" i="2"/>
  <c r="Z45" i="2"/>
  <c r="Z46" i="2"/>
  <c r="Z47" i="2"/>
  <c r="Z48" i="2"/>
  <c r="Z17" i="30" s="1"/>
  <c r="Z49" i="2"/>
  <c r="Z50" i="2"/>
  <c r="Z18" i="30" s="1"/>
  <c r="Z51" i="2"/>
  <c r="Z26" i="30" s="1"/>
  <c r="Z52" i="2"/>
  <c r="Z28" i="2"/>
  <c r="Z29" i="2"/>
  <c r="Z15" i="16" s="1"/>
  <c r="Z30" i="2"/>
  <c r="Z31" i="2"/>
  <c r="Z32" i="2"/>
  <c r="Z33" i="2"/>
  <c r="Z34" i="2"/>
  <c r="Y20" i="2"/>
  <c r="Y8" i="20" s="1"/>
  <c r="Y9" i="20" s="1"/>
  <c r="Y21" i="2"/>
  <c r="Y22" i="2"/>
  <c r="Z58" i="16" l="1"/>
  <c r="Z64" i="16"/>
  <c r="Z19" i="30"/>
  <c r="Z57" i="16"/>
  <c r="Z29" i="30"/>
  <c r="Z68" i="16"/>
  <c r="Z60" i="16"/>
  <c r="Z63" i="16"/>
  <c r="Z28" i="20"/>
  <c r="Z38" i="14"/>
  <c r="Z55" i="16"/>
  <c r="Z59" i="16"/>
  <c r="Z62" i="16"/>
  <c r="Z28" i="30"/>
  <c r="Z74" i="16"/>
  <c r="Z32" i="30"/>
  <c r="Z30" i="30"/>
  <c r="Z27" i="30"/>
  <c r="Z24" i="30"/>
  <c r="Z21" i="30"/>
  <c r="Z20" i="30"/>
  <c r="Q8" i="20"/>
  <c r="Q9" i="20" s="1"/>
  <c r="X313" i="2"/>
  <c r="X314" i="2"/>
  <c r="Z36" i="30" l="1"/>
  <c r="C157" i="16"/>
  <c r="C139" i="26" s="1"/>
  <c r="D157" i="16"/>
  <c r="D139" i="26" s="1"/>
  <c r="E157" i="16"/>
  <c r="E139" i="26" s="1"/>
  <c r="F157" i="16"/>
  <c r="K157" i="16"/>
  <c r="L157" i="16" s="1"/>
  <c r="S157" i="16"/>
  <c r="T157" i="16"/>
  <c r="W157" i="16"/>
  <c r="AA157" i="16"/>
  <c r="AD157" i="16"/>
  <c r="AE157" i="16"/>
  <c r="F139" i="26" s="1"/>
  <c r="C39" i="14"/>
  <c r="D39" i="14"/>
  <c r="E39" i="14"/>
  <c r="F39" i="14"/>
  <c r="K39" i="14"/>
  <c r="L39" i="14" s="1"/>
  <c r="S39" i="14"/>
  <c r="T39" i="14"/>
  <c r="W39" i="14"/>
  <c r="X39" i="14"/>
  <c r="Y39" i="14"/>
  <c r="AA39" i="14"/>
  <c r="AD39" i="14"/>
  <c r="AE39" i="14"/>
  <c r="C40" i="14"/>
  <c r="D40" i="14"/>
  <c r="E40" i="14"/>
  <c r="F40" i="14"/>
  <c r="K40" i="14"/>
  <c r="O40" i="14" s="1"/>
  <c r="S40" i="14"/>
  <c r="T40" i="14"/>
  <c r="W40" i="14"/>
  <c r="X40" i="14"/>
  <c r="Y40" i="14"/>
  <c r="AA40" i="14"/>
  <c r="AD40" i="14"/>
  <c r="AE40" i="14"/>
  <c r="C41" i="14"/>
  <c r="D41" i="14"/>
  <c r="E41" i="14"/>
  <c r="F41" i="14"/>
  <c r="K41" i="14"/>
  <c r="L41" i="14" s="1"/>
  <c r="S41" i="14"/>
  <c r="T41" i="14"/>
  <c r="W41" i="14"/>
  <c r="X41" i="14"/>
  <c r="Y41" i="14"/>
  <c r="AA41" i="14"/>
  <c r="AD41" i="14"/>
  <c r="AE41" i="14"/>
  <c r="P16" i="14"/>
  <c r="D178" i="26" l="1"/>
  <c r="D179" i="26"/>
  <c r="C178" i="26"/>
  <c r="C179" i="26"/>
  <c r="F178" i="26"/>
  <c r="F179" i="26"/>
  <c r="E178" i="26"/>
  <c r="E179" i="26"/>
  <c r="O157" i="16"/>
  <c r="N157" i="16"/>
  <c r="M157" i="16"/>
  <c r="AB39" i="14"/>
  <c r="AB40" i="14"/>
  <c r="AB41" i="14"/>
  <c r="N40" i="14"/>
  <c r="M40" i="14"/>
  <c r="L40" i="14"/>
  <c r="O39" i="14"/>
  <c r="N39" i="14"/>
  <c r="N41" i="14"/>
  <c r="M41" i="14"/>
  <c r="M39" i="14"/>
  <c r="O41" i="14"/>
  <c r="L266" i="2"/>
  <c r="M266" i="2"/>
  <c r="N266" i="2"/>
  <c r="O266" i="2"/>
  <c r="AB266" i="2"/>
  <c r="L267" i="2"/>
  <c r="M267" i="2"/>
  <c r="N267" i="2"/>
  <c r="O267" i="2"/>
  <c r="AB267" i="2"/>
  <c r="G266" i="2"/>
  <c r="H266" i="2"/>
  <c r="H40" i="14" s="1"/>
  <c r="G267" i="2"/>
  <c r="H267" i="2"/>
  <c r="H41" i="14" s="1"/>
  <c r="AB265" i="2"/>
  <c r="L265" i="2"/>
  <c r="M265" i="2"/>
  <c r="N265" i="2"/>
  <c r="O265" i="2"/>
  <c r="G265" i="2"/>
  <c r="G39" i="14" s="1"/>
  <c r="H265" i="2"/>
  <c r="H39" i="14" s="1"/>
  <c r="X323" i="2"/>
  <c r="X157" i="16" s="1"/>
  <c r="Z157" i="16"/>
  <c r="L323" i="2"/>
  <c r="Y323" i="2" s="1"/>
  <c r="Y157" i="16" s="1"/>
  <c r="M323" i="2"/>
  <c r="N323" i="2"/>
  <c r="O323" i="2"/>
  <c r="G323" i="2"/>
  <c r="H323" i="2"/>
  <c r="H157" i="16" s="1"/>
  <c r="U157" i="16" l="1"/>
  <c r="U41" i="14"/>
  <c r="U39" i="14"/>
  <c r="U40" i="14"/>
  <c r="AB157" i="16"/>
  <c r="I323" i="2"/>
  <c r="G157" i="16"/>
  <c r="I157" i="16" s="1"/>
  <c r="Q157" i="16"/>
  <c r="I39" i="14"/>
  <c r="Q323" i="2"/>
  <c r="J323" i="2" s="1"/>
  <c r="Q265" i="2"/>
  <c r="J265" i="2" s="1"/>
  <c r="I267" i="2"/>
  <c r="G41" i="14"/>
  <c r="I41" i="14" s="1"/>
  <c r="Q267" i="2"/>
  <c r="J267" i="2" s="1"/>
  <c r="I266" i="2"/>
  <c r="G40" i="14"/>
  <c r="I40" i="14" s="1"/>
  <c r="Q41" i="14"/>
  <c r="Q39" i="14"/>
  <c r="J39" i="14" s="1"/>
  <c r="Q40" i="14"/>
  <c r="Q266" i="2"/>
  <c r="J266" i="2" s="1"/>
  <c r="I265" i="2"/>
  <c r="AB323" i="2"/>
  <c r="R323" i="2" l="1"/>
  <c r="J157" i="16"/>
  <c r="R267" i="2"/>
  <c r="J40" i="14"/>
  <c r="J41" i="14"/>
  <c r="R266" i="2"/>
  <c r="R265" i="2"/>
  <c r="V265" i="2" l="1"/>
  <c r="AC265" i="2" s="1"/>
  <c r="R39" i="14"/>
  <c r="V39" i="14" s="1"/>
  <c r="AC39" i="14" s="1"/>
  <c r="V267" i="2"/>
  <c r="AC267" i="2" s="1"/>
  <c r="R41" i="14"/>
  <c r="V41" i="14" s="1"/>
  <c r="AC41" i="14" s="1"/>
  <c r="V266" i="2"/>
  <c r="AC266" i="2" s="1"/>
  <c r="R40" i="14"/>
  <c r="V40" i="14" s="1"/>
  <c r="AC40" i="14" s="1"/>
  <c r="V323" i="2"/>
  <c r="AC323" i="2" s="1"/>
  <c r="R157" i="16"/>
  <c r="V157" i="16" s="1"/>
  <c r="AC157" i="16" s="1"/>
  <c r="G139" i="26" s="1"/>
  <c r="X179" i="2"/>
  <c r="X173" i="16" s="1"/>
  <c r="G178" i="26" l="1"/>
  <c r="G179" i="26"/>
  <c r="U34" i="30"/>
  <c r="G370" i="2"/>
  <c r="K20" i="30"/>
  <c r="K21" i="30"/>
  <c r="K24" i="30"/>
  <c r="K8" i="18"/>
  <c r="U226" i="2" l="1"/>
  <c r="U380" i="2"/>
  <c r="U140" i="2"/>
  <c r="U183" i="2"/>
  <c r="U282" i="2"/>
  <c r="U231" i="2"/>
  <c r="U173" i="2"/>
  <c r="U164" i="2"/>
  <c r="U82" i="20"/>
  <c r="U202" i="2"/>
  <c r="U241" i="2"/>
  <c r="U331" i="2"/>
  <c r="U33" i="30"/>
  <c r="U101" i="16"/>
  <c r="U85" i="20"/>
  <c r="U37" i="16"/>
  <c r="U28" i="20"/>
  <c r="U169" i="16"/>
  <c r="U57" i="16"/>
  <c r="U66" i="16"/>
  <c r="U63" i="16"/>
  <c r="K25" i="30"/>
  <c r="K23" i="30"/>
  <c r="K22" i="30"/>
  <c r="K19" i="30"/>
  <c r="U21" i="30"/>
  <c r="U25" i="30"/>
  <c r="L20" i="30"/>
  <c r="N20" i="30"/>
  <c r="O20" i="30"/>
  <c r="M20" i="30"/>
  <c r="K17" i="30"/>
  <c r="L21" i="30"/>
  <c r="N21" i="30"/>
  <c r="O21" i="30"/>
  <c r="M21" i="30"/>
  <c r="L24" i="30"/>
  <c r="N24" i="30"/>
  <c r="O24" i="30"/>
  <c r="M24" i="30"/>
  <c r="U23" i="30"/>
  <c r="K70" i="16"/>
  <c r="K68" i="16"/>
  <c r="K66" i="16"/>
  <c r="U176" i="16"/>
  <c r="U117" i="16"/>
  <c r="U69" i="16"/>
  <c r="U68" i="16"/>
  <c r="K61" i="16"/>
  <c r="K14" i="16"/>
  <c r="U70" i="16"/>
  <c r="K63" i="16"/>
  <c r="K20" i="16"/>
  <c r="K74" i="16"/>
  <c r="K65" i="16"/>
  <c r="K62" i="16"/>
  <c r="K113" i="16"/>
  <c r="K177" i="16"/>
  <c r="K168" i="16"/>
  <c r="K91" i="16"/>
  <c r="U175" i="16"/>
  <c r="K56" i="16"/>
  <c r="U170" i="16"/>
  <c r="U173" i="16"/>
  <c r="U116" i="16"/>
  <c r="U74" i="16"/>
  <c r="K174" i="16"/>
  <c r="K60" i="16"/>
  <c r="K72" i="16"/>
  <c r="K67" i="16"/>
  <c r="K57" i="16"/>
  <c r="K55" i="16"/>
  <c r="K117" i="16"/>
  <c r="K175" i="16"/>
  <c r="K169" i="16"/>
  <c r="U73" i="16"/>
  <c r="U177" i="16"/>
  <c r="K176" i="16"/>
  <c r="U174" i="16"/>
  <c r="U168" i="16"/>
  <c r="U72" i="16"/>
  <c r="U67" i="16"/>
  <c r="K64" i="16"/>
  <c r="K231" i="2"/>
  <c r="K69" i="16"/>
  <c r="K170" i="16"/>
  <c r="K73" i="16"/>
  <c r="K58" i="16"/>
  <c r="K167" i="16"/>
  <c r="K173" i="16"/>
  <c r="K88" i="16"/>
  <c r="K54" i="16"/>
  <c r="K71" i="16"/>
  <c r="K59" i="16"/>
  <c r="K116" i="16"/>
  <c r="U167" i="16"/>
  <c r="U113" i="16"/>
  <c r="U71" i="16"/>
  <c r="K15" i="16"/>
  <c r="U21" i="14"/>
  <c r="U22" i="16"/>
  <c r="K8" i="16"/>
  <c r="U21" i="16"/>
  <c r="U8" i="20"/>
  <c r="U9" i="20" s="1"/>
  <c r="K21" i="16"/>
  <c r="K22" i="16"/>
  <c r="K21" i="14"/>
  <c r="U20" i="16"/>
  <c r="U8" i="16"/>
  <c r="K171" i="16" l="1"/>
  <c r="K36" i="30"/>
  <c r="K178" i="16"/>
  <c r="U55" i="16"/>
  <c r="U65" i="16"/>
  <c r="U91" i="16"/>
  <c r="U54" i="16"/>
  <c r="U15" i="16"/>
  <c r="U19" i="30"/>
  <c r="U59" i="16"/>
  <c r="U64" i="16"/>
  <c r="U56" i="16"/>
  <c r="U61" i="16"/>
  <c r="U88" i="16"/>
  <c r="U14" i="16"/>
  <c r="U17" i="30"/>
  <c r="U58" i="16"/>
  <c r="U62" i="16"/>
  <c r="U60" i="16"/>
  <c r="L22" i="30"/>
  <c r="N22" i="30"/>
  <c r="O22" i="30"/>
  <c r="M22" i="30"/>
  <c r="Q21" i="30"/>
  <c r="L23" i="30"/>
  <c r="N23" i="30"/>
  <c r="O23" i="30"/>
  <c r="M23" i="30"/>
  <c r="Q24" i="30"/>
  <c r="M17" i="30"/>
  <c r="O17" i="30"/>
  <c r="N17" i="30"/>
  <c r="L17" i="30"/>
  <c r="L25" i="30"/>
  <c r="O25" i="30"/>
  <c r="M25" i="30"/>
  <c r="N25" i="30"/>
  <c r="Q20" i="30"/>
  <c r="L19" i="30"/>
  <c r="N19" i="30"/>
  <c r="M19" i="30"/>
  <c r="O19" i="30"/>
  <c r="U20" i="30"/>
  <c r="U24" i="30"/>
  <c r="U171" i="16"/>
  <c r="L116" i="16"/>
  <c r="M116" i="16"/>
  <c r="O116" i="16"/>
  <c r="N116" i="16"/>
  <c r="M69" i="16"/>
  <c r="O69" i="16"/>
  <c r="N69" i="16"/>
  <c r="L69" i="16"/>
  <c r="M55" i="16"/>
  <c r="N55" i="16"/>
  <c r="L55" i="16"/>
  <c r="O55" i="16"/>
  <c r="L113" i="16"/>
  <c r="O113" i="16"/>
  <c r="N113" i="16"/>
  <c r="M113" i="16"/>
  <c r="O20" i="16"/>
  <c r="M20" i="16"/>
  <c r="N20" i="16"/>
  <c r="L20" i="16"/>
  <c r="L14" i="16"/>
  <c r="O14" i="16"/>
  <c r="N14" i="16"/>
  <c r="M14" i="16"/>
  <c r="M66" i="16"/>
  <c r="L66" i="16"/>
  <c r="N66" i="16"/>
  <c r="O66" i="16"/>
  <c r="L88" i="16"/>
  <c r="N88" i="16"/>
  <c r="O88" i="16"/>
  <c r="M88" i="16"/>
  <c r="L58" i="16"/>
  <c r="M58" i="16"/>
  <c r="N58" i="16"/>
  <c r="O58" i="16"/>
  <c r="M59" i="16"/>
  <c r="O59" i="16"/>
  <c r="N59" i="16"/>
  <c r="L59" i="16"/>
  <c r="M73" i="16"/>
  <c r="L73" i="16"/>
  <c r="O73" i="16"/>
  <c r="N73" i="16"/>
  <c r="N176" i="16"/>
  <c r="L176" i="16"/>
  <c r="M176" i="16"/>
  <c r="O176" i="16"/>
  <c r="O175" i="16"/>
  <c r="N175" i="16"/>
  <c r="L175" i="16"/>
  <c r="M175" i="16"/>
  <c r="O57" i="16"/>
  <c r="L57" i="16"/>
  <c r="N57" i="16"/>
  <c r="M57" i="16"/>
  <c r="O60" i="16"/>
  <c r="N60" i="16"/>
  <c r="L60" i="16"/>
  <c r="M60" i="16"/>
  <c r="U178" i="16"/>
  <c r="L91" i="16"/>
  <c r="O91" i="16"/>
  <c r="N91" i="16"/>
  <c r="M91" i="16"/>
  <c r="M62" i="16"/>
  <c r="N62" i="16"/>
  <c r="L62" i="16"/>
  <c r="O62" i="16"/>
  <c r="L61" i="16"/>
  <c r="N61" i="16"/>
  <c r="O61" i="16"/>
  <c r="M61" i="16"/>
  <c r="L169" i="16"/>
  <c r="M169" i="16"/>
  <c r="O169" i="16"/>
  <c r="N169" i="16"/>
  <c r="L72" i="16"/>
  <c r="M72" i="16"/>
  <c r="N72" i="16"/>
  <c r="O72" i="16"/>
  <c r="M71" i="16"/>
  <c r="L71" i="16"/>
  <c r="N71" i="16"/>
  <c r="O71" i="16"/>
  <c r="O173" i="16"/>
  <c r="M173" i="16"/>
  <c r="N173" i="16"/>
  <c r="L173" i="16"/>
  <c r="M64" i="16"/>
  <c r="O64" i="16"/>
  <c r="N64" i="16"/>
  <c r="L64" i="16"/>
  <c r="L174" i="16"/>
  <c r="M174" i="16"/>
  <c r="O174" i="16"/>
  <c r="N174" i="16"/>
  <c r="O168" i="16"/>
  <c r="N168" i="16"/>
  <c r="M168" i="16"/>
  <c r="L168" i="16"/>
  <c r="L65" i="16"/>
  <c r="O65" i="16"/>
  <c r="M65" i="16"/>
  <c r="N65" i="16"/>
  <c r="L63" i="16"/>
  <c r="M63" i="16"/>
  <c r="O63" i="16"/>
  <c r="N63" i="16"/>
  <c r="L68" i="16"/>
  <c r="O68" i="16"/>
  <c r="M68" i="16"/>
  <c r="N68" i="16"/>
  <c r="O170" i="16"/>
  <c r="N170" i="16"/>
  <c r="L170" i="16"/>
  <c r="M170" i="16"/>
  <c r="L54" i="16"/>
  <c r="O54" i="16"/>
  <c r="N54" i="16"/>
  <c r="M54" i="16"/>
  <c r="L117" i="16"/>
  <c r="O117" i="16"/>
  <c r="N117" i="16"/>
  <c r="M117" i="16"/>
  <c r="L56" i="16"/>
  <c r="O56" i="16"/>
  <c r="M56" i="16"/>
  <c r="N56" i="16"/>
  <c r="O177" i="16"/>
  <c r="N177" i="16"/>
  <c r="M177" i="16"/>
  <c r="L177" i="16"/>
  <c r="L74" i="16"/>
  <c r="O74" i="16"/>
  <c r="N74" i="16"/>
  <c r="M74" i="16"/>
  <c r="L70" i="16"/>
  <c r="M70" i="16"/>
  <c r="N70" i="16"/>
  <c r="O70" i="16"/>
  <c r="L167" i="16"/>
  <c r="O167" i="16"/>
  <c r="M167" i="16"/>
  <c r="N167" i="16"/>
  <c r="O67" i="16"/>
  <c r="N67" i="16"/>
  <c r="M67" i="16"/>
  <c r="L67" i="16"/>
  <c r="K23" i="16"/>
  <c r="U23" i="16"/>
  <c r="L22" i="16"/>
  <c r="O22" i="16"/>
  <c r="N22" i="16"/>
  <c r="M22" i="16"/>
  <c r="L8" i="16"/>
  <c r="N8" i="16"/>
  <c r="M8" i="16"/>
  <c r="O8" i="16"/>
  <c r="L21" i="16"/>
  <c r="O21" i="16"/>
  <c r="N21" i="16"/>
  <c r="M21" i="16"/>
  <c r="L21" i="14"/>
  <c r="O21" i="14"/>
  <c r="N21" i="14"/>
  <c r="M21" i="14"/>
  <c r="L15" i="16"/>
  <c r="M15" i="16"/>
  <c r="N15" i="16"/>
  <c r="O15" i="16"/>
  <c r="F152" i="26"/>
  <c r="I4" i="37"/>
  <c r="I4" i="25"/>
  <c r="L36" i="30" l="1"/>
  <c r="N36" i="30"/>
  <c r="U36" i="30"/>
  <c r="O36" i="30"/>
  <c r="M36" i="30"/>
  <c r="N23" i="16"/>
  <c r="M23" i="16"/>
  <c r="Q22" i="30"/>
  <c r="Q25" i="30"/>
  <c r="Q19" i="30"/>
  <c r="Q23" i="30"/>
  <c r="Q17" i="30"/>
  <c r="L23" i="16"/>
  <c r="O171" i="16"/>
  <c r="Q62" i="16"/>
  <c r="Q59" i="16"/>
  <c r="Q69" i="16"/>
  <c r="O23" i="16"/>
  <c r="Q55" i="16"/>
  <c r="Q72" i="16"/>
  <c r="Q67" i="16"/>
  <c r="Q167" i="16"/>
  <c r="L171" i="16"/>
  <c r="Q117" i="16"/>
  <c r="Q54" i="16"/>
  <c r="Q68" i="16"/>
  <c r="Q63" i="16"/>
  <c r="Q71" i="16"/>
  <c r="Q60" i="16"/>
  <c r="Q175" i="16"/>
  <c r="Q169" i="16"/>
  <c r="Q61" i="16"/>
  <c r="Q73" i="16"/>
  <c r="Q170" i="16"/>
  <c r="Q173" i="16"/>
  <c r="L178" i="16"/>
  <c r="Q88" i="16"/>
  <c r="Q14" i="16"/>
  <c r="Q113" i="16"/>
  <c r="N178" i="16"/>
  <c r="Q20" i="16"/>
  <c r="N171" i="16"/>
  <c r="Q70" i="16"/>
  <c r="Q74" i="16"/>
  <c r="Q56" i="16"/>
  <c r="Q65" i="16"/>
  <c r="Q174" i="16"/>
  <c r="M178" i="16"/>
  <c r="Q177" i="16"/>
  <c r="Q168" i="16"/>
  <c r="Q64" i="16"/>
  <c r="O178" i="16"/>
  <c r="Q91" i="16"/>
  <c r="Q57" i="16"/>
  <c r="Q176" i="16"/>
  <c r="Q66" i="16"/>
  <c r="M171" i="16"/>
  <c r="Q58" i="16"/>
  <c r="Q116" i="16"/>
  <c r="Q21" i="14"/>
  <c r="Q21" i="16"/>
  <c r="Q8" i="16"/>
  <c r="Q15" i="16"/>
  <c r="Q22" i="16"/>
  <c r="P12" i="14"/>
  <c r="P13" i="14"/>
  <c r="Q36" i="30" l="1"/>
  <c r="Q171" i="16"/>
  <c r="Q178" i="16"/>
  <c r="Q23" i="16"/>
  <c r="C108" i="16"/>
  <c r="E108" i="16"/>
  <c r="F108" i="16"/>
  <c r="K108" i="16"/>
  <c r="L108" i="16" s="1"/>
  <c r="S108" i="16"/>
  <c r="T108" i="16"/>
  <c r="W108" i="16"/>
  <c r="AA108" i="16"/>
  <c r="AD108" i="16"/>
  <c r="AE108" i="16"/>
  <c r="C109" i="16"/>
  <c r="E109" i="16"/>
  <c r="F109" i="16"/>
  <c r="K109" i="16"/>
  <c r="L109" i="16" s="1"/>
  <c r="S109" i="16"/>
  <c r="T109" i="16"/>
  <c r="W109" i="16"/>
  <c r="AA109" i="16"/>
  <c r="AD109" i="16"/>
  <c r="AE109" i="16"/>
  <c r="C110" i="16"/>
  <c r="E110" i="16"/>
  <c r="F110" i="16"/>
  <c r="K110" i="16"/>
  <c r="L110" i="16" s="1"/>
  <c r="S110" i="16"/>
  <c r="T110" i="16"/>
  <c r="W110" i="16"/>
  <c r="AA110" i="16"/>
  <c r="AD110" i="16"/>
  <c r="AE110" i="16"/>
  <c r="C111" i="16"/>
  <c r="E111" i="16"/>
  <c r="F111" i="16"/>
  <c r="K111" i="16"/>
  <c r="L111" i="16" s="1"/>
  <c r="S111" i="16"/>
  <c r="T111" i="16"/>
  <c r="W111" i="16"/>
  <c r="AA111" i="16"/>
  <c r="AD111" i="16"/>
  <c r="AE111" i="16"/>
  <c r="C112" i="16"/>
  <c r="E112" i="16"/>
  <c r="F112" i="16"/>
  <c r="K112" i="16"/>
  <c r="L112" i="16" s="1"/>
  <c r="S112" i="16"/>
  <c r="T112" i="16"/>
  <c r="W112" i="16"/>
  <c r="AA112" i="16"/>
  <c r="AD112" i="16"/>
  <c r="AE112" i="16"/>
  <c r="C114" i="16"/>
  <c r="E114" i="16"/>
  <c r="F114" i="16"/>
  <c r="K114" i="16"/>
  <c r="O114" i="16" s="1"/>
  <c r="S114" i="16"/>
  <c r="T114" i="16"/>
  <c r="W114" i="16"/>
  <c r="AA114" i="16"/>
  <c r="AD114" i="16"/>
  <c r="AE114" i="16"/>
  <c r="C115" i="16"/>
  <c r="E115" i="16"/>
  <c r="F115" i="16"/>
  <c r="K115" i="16"/>
  <c r="L115" i="16" s="1"/>
  <c r="S115" i="16"/>
  <c r="T115" i="16"/>
  <c r="W115" i="16"/>
  <c r="AA115" i="16"/>
  <c r="AD115" i="16"/>
  <c r="AE115" i="16"/>
  <c r="C118" i="16"/>
  <c r="E118" i="16"/>
  <c r="F118" i="16"/>
  <c r="K118" i="16"/>
  <c r="O118" i="16" s="1"/>
  <c r="S118" i="16"/>
  <c r="T118" i="16"/>
  <c r="W118" i="16"/>
  <c r="AA118" i="16"/>
  <c r="AD118" i="16"/>
  <c r="AE118" i="16"/>
  <c r="C119" i="16"/>
  <c r="E119" i="16"/>
  <c r="F119" i="16"/>
  <c r="K119" i="16"/>
  <c r="L119" i="16" s="1"/>
  <c r="S119" i="16"/>
  <c r="T119" i="16"/>
  <c r="W119" i="16"/>
  <c r="AA119" i="16"/>
  <c r="AD119" i="16"/>
  <c r="AE119" i="16"/>
  <c r="C27" i="20"/>
  <c r="E27" i="20"/>
  <c r="F27" i="20"/>
  <c r="K27" i="20"/>
  <c r="S27" i="20"/>
  <c r="T27" i="20"/>
  <c r="W27" i="20"/>
  <c r="AA27" i="20"/>
  <c r="AD27" i="20"/>
  <c r="AE27" i="20"/>
  <c r="C29" i="20"/>
  <c r="E29" i="20"/>
  <c r="F29" i="20"/>
  <c r="K29" i="20"/>
  <c r="L29" i="20" s="1"/>
  <c r="S29" i="20"/>
  <c r="T29" i="20"/>
  <c r="W29" i="20"/>
  <c r="AA29" i="20"/>
  <c r="AD29" i="20"/>
  <c r="AE29" i="20"/>
  <c r="E28" i="14"/>
  <c r="E167" i="26" s="1"/>
  <c r="E29" i="14"/>
  <c r="E168" i="26" s="1"/>
  <c r="E30" i="14"/>
  <c r="E169" i="26" s="1"/>
  <c r="E31" i="14"/>
  <c r="E170" i="26" s="1"/>
  <c r="E32" i="14"/>
  <c r="E171" i="26" s="1"/>
  <c r="E33" i="14"/>
  <c r="E172" i="26" s="1"/>
  <c r="E34" i="14"/>
  <c r="E173" i="26" s="1"/>
  <c r="E35" i="14"/>
  <c r="E174" i="26" s="1"/>
  <c r="E36" i="14"/>
  <c r="E175" i="26" s="1"/>
  <c r="E37" i="14"/>
  <c r="E176" i="26" s="1"/>
  <c r="E38" i="14"/>
  <c r="E177" i="26" s="1"/>
  <c r="C13" i="14"/>
  <c r="E13" i="14"/>
  <c r="F13" i="14"/>
  <c r="K13" i="14"/>
  <c r="M13" i="14" s="1"/>
  <c r="S13" i="14"/>
  <c r="T13" i="14"/>
  <c r="W13" i="14"/>
  <c r="AA13" i="14"/>
  <c r="AD13" i="14"/>
  <c r="AE13" i="14"/>
  <c r="C22" i="14"/>
  <c r="E22" i="14"/>
  <c r="F22" i="14"/>
  <c r="K22" i="14"/>
  <c r="L22" i="14" s="1"/>
  <c r="S22" i="14"/>
  <c r="T22" i="14"/>
  <c r="W22" i="14"/>
  <c r="AA22" i="14"/>
  <c r="AD22" i="14"/>
  <c r="AE22" i="14"/>
  <c r="C80" i="20"/>
  <c r="E80" i="20"/>
  <c r="F80" i="20"/>
  <c r="K80" i="20"/>
  <c r="L80" i="20" s="1"/>
  <c r="S80" i="20"/>
  <c r="T80" i="20"/>
  <c r="W80" i="20"/>
  <c r="AA80" i="20"/>
  <c r="AD80" i="20"/>
  <c r="AE80" i="20"/>
  <c r="C23" i="20"/>
  <c r="C12" i="38" s="1"/>
  <c r="E23" i="20"/>
  <c r="E12" i="38" s="1"/>
  <c r="F23" i="20"/>
  <c r="K23" i="20"/>
  <c r="S23" i="20"/>
  <c r="T23" i="20"/>
  <c r="W23" i="20"/>
  <c r="AA23" i="20"/>
  <c r="AD23" i="20"/>
  <c r="AE23" i="20"/>
  <c r="F12" i="38" s="1"/>
  <c r="C14" i="20"/>
  <c r="C11" i="38" s="1"/>
  <c r="D14" i="20"/>
  <c r="D11" i="38" s="1"/>
  <c r="E14" i="20"/>
  <c r="E11" i="38" s="1"/>
  <c r="F14" i="20"/>
  <c r="K14" i="20"/>
  <c r="L14" i="20" s="1"/>
  <c r="S14" i="20"/>
  <c r="T14" i="20"/>
  <c r="W14" i="20"/>
  <c r="AA14" i="20"/>
  <c r="AD14" i="20"/>
  <c r="AE14" i="20"/>
  <c r="F11" i="38" s="1"/>
  <c r="E95" i="26" l="1"/>
  <c r="F95" i="26"/>
  <c r="C95" i="26"/>
  <c r="C94" i="26"/>
  <c r="C99" i="26"/>
  <c r="C98" i="26"/>
  <c r="F94" i="26"/>
  <c r="E94" i="26"/>
  <c r="F99" i="26"/>
  <c r="F98" i="26"/>
  <c r="E99" i="26"/>
  <c r="E98" i="26"/>
  <c r="F64" i="38"/>
  <c r="E64" i="38"/>
  <c r="C64" i="38"/>
  <c r="F96" i="26"/>
  <c r="F97" i="26"/>
  <c r="E96" i="26"/>
  <c r="E97" i="26"/>
  <c r="C96" i="26"/>
  <c r="C97" i="26"/>
  <c r="F14" i="38"/>
  <c r="E14" i="38"/>
  <c r="C14" i="38"/>
  <c r="L27" i="20"/>
  <c r="L23" i="20"/>
  <c r="L13" i="14"/>
  <c r="N109" i="16"/>
  <c r="O109" i="16"/>
  <c r="M109" i="16"/>
  <c r="O108" i="16"/>
  <c r="N108" i="16"/>
  <c r="M108" i="16"/>
  <c r="N114" i="16"/>
  <c r="N118" i="16"/>
  <c r="O111" i="16"/>
  <c r="N111" i="16"/>
  <c r="M118" i="16"/>
  <c r="M114" i="16"/>
  <c r="M111" i="16"/>
  <c r="L118" i="16"/>
  <c r="L114" i="16"/>
  <c r="O115" i="16"/>
  <c r="O112" i="16"/>
  <c r="O110" i="16"/>
  <c r="O119" i="16"/>
  <c r="N115" i="16"/>
  <c r="N112" i="16"/>
  <c r="N110" i="16"/>
  <c r="N119" i="16"/>
  <c r="M119" i="16"/>
  <c r="M115" i="16"/>
  <c r="M112" i="16"/>
  <c r="M110" i="16"/>
  <c r="O27" i="20"/>
  <c r="N27" i="20"/>
  <c r="M27" i="20"/>
  <c r="O29" i="20"/>
  <c r="N29" i="20"/>
  <c r="M29" i="20"/>
  <c r="O13" i="14"/>
  <c r="N13" i="14"/>
  <c r="O22" i="14"/>
  <c r="N22" i="14"/>
  <c r="M22" i="14"/>
  <c r="O80" i="20"/>
  <c r="N80" i="20"/>
  <c r="M80" i="20"/>
  <c r="O23" i="20"/>
  <c r="N23" i="20"/>
  <c r="M23" i="20"/>
  <c r="O14" i="20"/>
  <c r="N14" i="20"/>
  <c r="M14" i="20"/>
  <c r="Q80" i="20" l="1"/>
  <c r="Q108" i="16"/>
  <c r="Q22" i="14"/>
  <c r="Q109" i="16"/>
  <c r="Q29" i="20"/>
  <c r="Q27" i="20"/>
  <c r="Q111" i="16"/>
  <c r="Q112" i="16"/>
  <c r="Q110" i="16"/>
  <c r="Q115" i="16"/>
  <c r="Q119" i="16"/>
  <c r="Q114" i="16"/>
  <c r="Q118" i="16"/>
  <c r="Q13" i="14"/>
  <c r="Q23" i="20"/>
  <c r="Q14" i="20"/>
  <c r="A3" i="16" l="1"/>
  <c r="A3" i="20" s="1"/>
  <c r="A3" i="21" s="1"/>
  <c r="A3" i="14" s="1"/>
  <c r="A3" i="30" s="1"/>
  <c r="A3" i="19" s="1"/>
  <c r="C38" i="14" l="1"/>
  <c r="C177" i="26" s="1"/>
  <c r="D38" i="14"/>
  <c r="D177" i="26" s="1"/>
  <c r="F38" i="14"/>
  <c r="K38" i="14"/>
  <c r="L38" i="14" s="1"/>
  <c r="S38" i="14"/>
  <c r="T38" i="14"/>
  <c r="W38" i="14"/>
  <c r="AA38" i="14"/>
  <c r="AD38" i="14"/>
  <c r="AE38" i="14"/>
  <c r="F177" i="26" s="1"/>
  <c r="C62" i="20"/>
  <c r="D62" i="20"/>
  <c r="E62" i="20"/>
  <c r="F62" i="20"/>
  <c r="K62" i="20"/>
  <c r="L62" i="20" s="1"/>
  <c r="S62" i="20"/>
  <c r="T62" i="20"/>
  <c r="W62" i="20"/>
  <c r="AA62" i="20"/>
  <c r="AD62" i="20"/>
  <c r="AE62" i="20"/>
  <c r="C63" i="20"/>
  <c r="D63" i="20"/>
  <c r="E63" i="20"/>
  <c r="F63" i="20"/>
  <c r="K63" i="20"/>
  <c r="L63" i="20" s="1"/>
  <c r="S63" i="20"/>
  <c r="T63" i="20"/>
  <c r="W63" i="20"/>
  <c r="AA63" i="20"/>
  <c r="AD63" i="20"/>
  <c r="AE63" i="20"/>
  <c r="X182" i="2"/>
  <c r="X177" i="16" s="1"/>
  <c r="Y182" i="2"/>
  <c r="Y177" i="16" s="1"/>
  <c r="Z177" i="16"/>
  <c r="P183" i="2"/>
  <c r="S183" i="2"/>
  <c r="T183" i="2"/>
  <c r="W183" i="2"/>
  <c r="AA183" i="2"/>
  <c r="K183" i="2"/>
  <c r="L182" i="2"/>
  <c r="M182" i="2"/>
  <c r="N182" i="2"/>
  <c r="O182" i="2"/>
  <c r="G182" i="2"/>
  <c r="G177" i="16" s="1"/>
  <c r="H182" i="2"/>
  <c r="H177" i="16" s="1"/>
  <c r="U38" i="14"/>
  <c r="X264" i="2"/>
  <c r="X38" i="14" s="1"/>
  <c r="Y264" i="2"/>
  <c r="Y38" i="14" s="1"/>
  <c r="L264" i="2"/>
  <c r="M264" i="2"/>
  <c r="N264" i="2"/>
  <c r="O264" i="2"/>
  <c r="G264" i="2"/>
  <c r="G38" i="14" s="1"/>
  <c r="H264" i="2"/>
  <c r="H38" i="14" s="1"/>
  <c r="X369" i="2"/>
  <c r="X62" i="20" s="1"/>
  <c r="Y369" i="2"/>
  <c r="Y62" i="20" s="1"/>
  <c r="X370" i="2"/>
  <c r="X63" i="20" s="1"/>
  <c r="Y370" i="2"/>
  <c r="Y63" i="20" s="1"/>
  <c r="X371" i="2"/>
  <c r="X14" i="20" s="1"/>
  <c r="Y371" i="2"/>
  <c r="Y14" i="20" s="1"/>
  <c r="Z14" i="20"/>
  <c r="U62" i="20"/>
  <c r="U63" i="20"/>
  <c r="U14" i="20"/>
  <c r="L369" i="2"/>
  <c r="M369" i="2"/>
  <c r="N369" i="2"/>
  <c r="O369" i="2"/>
  <c r="L370" i="2"/>
  <c r="M370" i="2"/>
  <c r="N370" i="2"/>
  <c r="O370" i="2"/>
  <c r="L371" i="2"/>
  <c r="M371" i="2"/>
  <c r="N371" i="2"/>
  <c r="O371" i="2"/>
  <c r="H369" i="2"/>
  <c r="H62" i="20" s="1"/>
  <c r="H370" i="2"/>
  <c r="H63" i="20" s="1"/>
  <c r="H371" i="2"/>
  <c r="H14" i="20" s="1"/>
  <c r="G369" i="2"/>
  <c r="G63" i="20"/>
  <c r="G371" i="2"/>
  <c r="G14" i="20" s="1"/>
  <c r="AB177" i="16" l="1"/>
  <c r="I177" i="16"/>
  <c r="J177" i="16"/>
  <c r="AB14" i="20"/>
  <c r="I14" i="20"/>
  <c r="J14" i="20"/>
  <c r="O63" i="20"/>
  <c r="Q182" i="2"/>
  <c r="J182" i="2" s="1"/>
  <c r="I369" i="2"/>
  <c r="I38" i="14"/>
  <c r="N63" i="20"/>
  <c r="G62" i="20"/>
  <c r="I62" i="20" s="1"/>
  <c r="AB38" i="14"/>
  <c r="AB62" i="20"/>
  <c r="AB63" i="20"/>
  <c r="I63" i="20"/>
  <c r="O38" i="14"/>
  <c r="N38" i="14"/>
  <c r="M38" i="14"/>
  <c r="M63" i="20"/>
  <c r="O62" i="20"/>
  <c r="N62" i="20"/>
  <c r="M62" i="20"/>
  <c r="I182" i="2"/>
  <c r="I370" i="2"/>
  <c r="Q371" i="2"/>
  <c r="J371" i="2" s="1"/>
  <c r="Q264" i="2"/>
  <c r="J264" i="2" s="1"/>
  <c r="Q370" i="2"/>
  <c r="J370" i="2" s="1"/>
  <c r="Q369" i="2"/>
  <c r="J369" i="2" s="1"/>
  <c r="I264" i="2"/>
  <c r="AB182" i="2"/>
  <c r="I371" i="2"/>
  <c r="AB264" i="2"/>
  <c r="AB370" i="2"/>
  <c r="AB371" i="2"/>
  <c r="AB369" i="2"/>
  <c r="R370" i="2" l="1"/>
  <c r="R369" i="2"/>
  <c r="R182" i="2"/>
  <c r="Q63" i="20"/>
  <c r="J63" i="20" s="1"/>
  <c r="Q38" i="14"/>
  <c r="J38" i="14" s="1"/>
  <c r="Q62" i="20"/>
  <c r="J62" i="20" s="1"/>
  <c r="R371" i="2"/>
  <c r="R264" i="2"/>
  <c r="V369" i="2" l="1"/>
  <c r="AC369" i="2" s="1"/>
  <c r="R62" i="20"/>
  <c r="V62" i="20" s="1"/>
  <c r="AC62" i="20" s="1"/>
  <c r="V264" i="2"/>
  <c r="AC264" i="2" s="1"/>
  <c r="R38" i="14"/>
  <c r="V38" i="14" s="1"/>
  <c r="AC38" i="14" s="1"/>
  <c r="G177" i="26" s="1"/>
  <c r="V182" i="2"/>
  <c r="AC182" i="2" s="1"/>
  <c r="R177" i="16"/>
  <c r="V177" i="16" s="1"/>
  <c r="AC177" i="16" s="1"/>
  <c r="V370" i="2"/>
  <c r="AC370" i="2" s="1"/>
  <c r="R63" i="20"/>
  <c r="V63" i="20" s="1"/>
  <c r="AC63" i="20" s="1"/>
  <c r="V371" i="2"/>
  <c r="AC371" i="2" s="1"/>
  <c r="R14" i="20"/>
  <c r="V14" i="20" s="1"/>
  <c r="AC14" i="20" s="1"/>
  <c r="G11" i="38" s="1"/>
  <c r="K35" i="2"/>
  <c r="AB8" i="32" l="1"/>
  <c r="X11" i="32"/>
  <c r="H44" i="2"/>
  <c r="H54" i="16" s="1"/>
  <c r="H45" i="2"/>
  <c r="H46" i="2"/>
  <c r="H55" i="16" s="1"/>
  <c r="H47" i="2"/>
  <c r="H48" i="2"/>
  <c r="H49" i="2"/>
  <c r="H50" i="2"/>
  <c r="H51" i="2"/>
  <c r="H52" i="2"/>
  <c r="H53" i="2"/>
  <c r="H54" i="2"/>
  <c r="H56" i="16" s="1"/>
  <c r="H55" i="2"/>
  <c r="H56" i="2"/>
  <c r="H57" i="2"/>
  <c r="H58" i="2"/>
  <c r="H59" i="2"/>
  <c r="H60" i="2"/>
  <c r="H57" i="16" s="1"/>
  <c r="H61" i="2"/>
  <c r="H58" i="16" s="1"/>
  <c r="H62" i="2"/>
  <c r="H63" i="2"/>
  <c r="H64" i="2"/>
  <c r="H65" i="2"/>
  <c r="H66" i="2"/>
  <c r="H59" i="16" s="1"/>
  <c r="H67" i="2"/>
  <c r="H68" i="2"/>
  <c r="H60" i="16" s="1"/>
  <c r="H69" i="2"/>
  <c r="H70" i="2"/>
  <c r="H71" i="2"/>
  <c r="H72" i="2"/>
  <c r="H61" i="16" s="1"/>
  <c r="H73" i="2"/>
  <c r="H74" i="2"/>
  <c r="H75" i="2"/>
  <c r="H76" i="2"/>
  <c r="H77" i="2"/>
  <c r="H78" i="2"/>
  <c r="H79" i="2"/>
  <c r="H80" i="2"/>
  <c r="H81" i="2"/>
  <c r="H82" i="2"/>
  <c r="H62" i="16" s="1"/>
  <c r="H83" i="2"/>
  <c r="H63" i="16" s="1"/>
  <c r="H84" i="2"/>
  <c r="H85" i="2"/>
  <c r="H64" i="16" s="1"/>
  <c r="H86" i="2"/>
  <c r="H87" i="2"/>
  <c r="H88" i="2"/>
  <c r="H89" i="2"/>
  <c r="H90" i="2"/>
  <c r="H65" i="16" s="1"/>
  <c r="H91" i="2"/>
  <c r="H66" i="16" s="1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67" i="16" s="1"/>
  <c r="H112" i="2"/>
  <c r="H113" i="2"/>
  <c r="H114" i="2"/>
  <c r="H68" i="16" s="1"/>
  <c r="H115" i="2"/>
  <c r="H116" i="2"/>
  <c r="H117" i="2"/>
  <c r="H118" i="2"/>
  <c r="H119" i="2"/>
  <c r="H120" i="2"/>
  <c r="H121" i="2"/>
  <c r="H69" i="16" s="1"/>
  <c r="H122" i="2"/>
  <c r="H70" i="16" s="1"/>
  <c r="H123" i="2"/>
  <c r="H71" i="16" s="1"/>
  <c r="H124" i="2"/>
  <c r="H125" i="2"/>
  <c r="H72" i="16" s="1"/>
  <c r="H126" i="2"/>
  <c r="H73" i="16" s="1"/>
  <c r="H127" i="2"/>
  <c r="H74" i="16" s="1"/>
  <c r="H128" i="2"/>
  <c r="H129" i="2"/>
  <c r="H130" i="2"/>
  <c r="H43" i="2"/>
  <c r="H42" i="2"/>
  <c r="H39" i="2"/>
  <c r="H38" i="2"/>
  <c r="H20" i="16" s="1"/>
  <c r="H37" i="2"/>
  <c r="H28" i="2"/>
  <c r="H29" i="2"/>
  <c r="H15" i="16" s="1"/>
  <c r="H30" i="2"/>
  <c r="H31" i="2"/>
  <c r="H32" i="2"/>
  <c r="H33" i="2"/>
  <c r="H34" i="2"/>
  <c r="H27" i="2"/>
  <c r="H10" i="2"/>
  <c r="H11" i="2"/>
  <c r="H12" i="2"/>
  <c r="H13" i="2"/>
  <c r="H14" i="2"/>
  <c r="H15" i="2"/>
  <c r="H16" i="2"/>
  <c r="H17" i="2"/>
  <c r="H8" i="16" s="1"/>
  <c r="H18" i="2"/>
  <c r="H19" i="2"/>
  <c r="H20" i="2"/>
  <c r="H8" i="20" s="1"/>
  <c r="H21" i="2"/>
  <c r="H22" i="2"/>
  <c r="W35" i="2"/>
  <c r="W40" i="2" s="1"/>
  <c r="AA23" i="2"/>
  <c r="W23" i="2"/>
  <c r="S10" i="23"/>
  <c r="S12" i="23"/>
  <c r="W152" i="16"/>
  <c r="AA152" i="16"/>
  <c r="W153" i="16"/>
  <c r="AA153" i="16"/>
  <c r="W154" i="16"/>
  <c r="AA154" i="16"/>
  <c r="W155" i="16"/>
  <c r="AA155" i="16"/>
  <c r="W156" i="16"/>
  <c r="AA156" i="16"/>
  <c r="W140" i="16"/>
  <c r="AA140" i="16"/>
  <c r="W141" i="16"/>
  <c r="AA141" i="16"/>
  <c r="W142" i="16"/>
  <c r="AA142" i="16"/>
  <c r="W143" i="16"/>
  <c r="AA143" i="16"/>
  <c r="W144" i="16"/>
  <c r="AA144" i="16"/>
  <c r="W145" i="16"/>
  <c r="AA145" i="16"/>
  <c r="W146" i="16"/>
  <c r="AA146" i="16"/>
  <c r="W147" i="16"/>
  <c r="AA147" i="16"/>
  <c r="W148" i="16"/>
  <c r="AA148" i="16"/>
  <c r="W149" i="16"/>
  <c r="AA149" i="16"/>
  <c r="W150" i="16"/>
  <c r="AA150" i="16"/>
  <c r="W151" i="16"/>
  <c r="AA151" i="16"/>
  <c r="W131" i="16"/>
  <c r="AA131" i="16"/>
  <c r="W132" i="16"/>
  <c r="AA132" i="16"/>
  <c r="W133" i="16"/>
  <c r="AA133" i="16"/>
  <c r="W134" i="16"/>
  <c r="AA134" i="16"/>
  <c r="W135" i="16"/>
  <c r="AA135" i="16"/>
  <c r="W136" i="16"/>
  <c r="AA136" i="16"/>
  <c r="W137" i="16"/>
  <c r="AA137" i="16"/>
  <c r="W138" i="16"/>
  <c r="AA138" i="16"/>
  <c r="W139" i="16"/>
  <c r="AA139" i="16"/>
  <c r="W126" i="16"/>
  <c r="AA126" i="16"/>
  <c r="W127" i="16"/>
  <c r="AA127" i="16"/>
  <c r="W128" i="16"/>
  <c r="AA128" i="16"/>
  <c r="W129" i="16"/>
  <c r="AA129" i="16"/>
  <c r="W130" i="16"/>
  <c r="AA130" i="16"/>
  <c r="W121" i="16"/>
  <c r="AA121" i="16"/>
  <c r="W122" i="16"/>
  <c r="AA122" i="16"/>
  <c r="W123" i="16"/>
  <c r="AA123" i="16"/>
  <c r="W124" i="16"/>
  <c r="AA124" i="16"/>
  <c r="W125" i="16"/>
  <c r="AA125" i="16"/>
  <c r="AA120" i="16"/>
  <c r="W120" i="16"/>
  <c r="AA107" i="16"/>
  <c r="W107" i="16"/>
  <c r="W103" i="16"/>
  <c r="AA103" i="16"/>
  <c r="W104" i="16"/>
  <c r="AA104" i="16"/>
  <c r="AA102" i="16"/>
  <c r="W102" i="16"/>
  <c r="AA100" i="16"/>
  <c r="W100" i="16"/>
  <c r="W90" i="16"/>
  <c r="AA90" i="16"/>
  <c r="W92" i="16"/>
  <c r="AA92" i="16"/>
  <c r="W93" i="16"/>
  <c r="AA93" i="16"/>
  <c r="W94" i="16"/>
  <c r="AA94" i="16"/>
  <c r="W95" i="16"/>
  <c r="AA95" i="16"/>
  <c r="W96" i="16"/>
  <c r="AA96" i="16"/>
  <c r="AA89" i="16"/>
  <c r="W89" i="16"/>
  <c r="AA87" i="16"/>
  <c r="W87" i="16"/>
  <c r="AA86" i="16"/>
  <c r="W86" i="16"/>
  <c r="W52" i="16"/>
  <c r="AA52" i="16"/>
  <c r="W53" i="16"/>
  <c r="AA53" i="16"/>
  <c r="W75" i="16"/>
  <c r="AA75" i="16"/>
  <c r="W76" i="16"/>
  <c r="AA76" i="16"/>
  <c r="W77" i="16"/>
  <c r="AA77" i="16"/>
  <c r="W41" i="16"/>
  <c r="AA41" i="16"/>
  <c r="W42" i="16"/>
  <c r="AA42" i="16"/>
  <c r="W43" i="16"/>
  <c r="AA43" i="16"/>
  <c r="W44" i="16"/>
  <c r="AA44" i="16"/>
  <c r="W45" i="16"/>
  <c r="AA45" i="16"/>
  <c r="W46" i="16"/>
  <c r="AA46" i="16"/>
  <c r="W47" i="16"/>
  <c r="AA47" i="16"/>
  <c r="W48" i="16"/>
  <c r="AA48" i="16"/>
  <c r="W49" i="16"/>
  <c r="AA49" i="16"/>
  <c r="W50" i="16"/>
  <c r="AA50" i="16"/>
  <c r="W51" i="16"/>
  <c r="AA51" i="16"/>
  <c r="W34" i="16"/>
  <c r="AA34" i="16"/>
  <c r="W35" i="16"/>
  <c r="AA35" i="16"/>
  <c r="W36" i="16"/>
  <c r="AA36" i="16"/>
  <c r="W37" i="16"/>
  <c r="AA37" i="16"/>
  <c r="W38" i="16"/>
  <c r="AA38" i="16"/>
  <c r="W39" i="16"/>
  <c r="AA39" i="16"/>
  <c r="W40" i="16"/>
  <c r="AA40" i="16"/>
  <c r="W26" i="16"/>
  <c r="AA26" i="16"/>
  <c r="W27" i="16"/>
  <c r="AA27" i="16"/>
  <c r="W28" i="16"/>
  <c r="AA28" i="16"/>
  <c r="W29" i="16"/>
  <c r="AA29" i="16"/>
  <c r="W30" i="16"/>
  <c r="AA30" i="16"/>
  <c r="W31" i="16"/>
  <c r="AA31" i="16"/>
  <c r="W32" i="16"/>
  <c r="AA32" i="16"/>
  <c r="W33" i="16"/>
  <c r="AA33" i="16"/>
  <c r="AA25" i="16"/>
  <c r="W25" i="16"/>
  <c r="AA17" i="16"/>
  <c r="W17" i="16"/>
  <c r="AA16" i="16"/>
  <c r="W16" i="16"/>
  <c r="AA13" i="16"/>
  <c r="W13" i="16"/>
  <c r="W9" i="16"/>
  <c r="AA9" i="16"/>
  <c r="W10" i="16"/>
  <c r="AA10" i="16"/>
  <c r="W79" i="18"/>
  <c r="AA79" i="18"/>
  <c r="W80" i="18"/>
  <c r="AA80" i="18"/>
  <c r="W81" i="18"/>
  <c r="AA81" i="18"/>
  <c r="W82" i="18"/>
  <c r="AA82" i="18"/>
  <c r="AA78" i="18"/>
  <c r="W78" i="18"/>
  <c r="AA77" i="18"/>
  <c r="W77" i="18"/>
  <c r="AA76" i="18"/>
  <c r="W76" i="18"/>
  <c r="W70" i="18"/>
  <c r="AA70" i="18"/>
  <c r="W71" i="18"/>
  <c r="AA71" i="18"/>
  <c r="W72" i="18"/>
  <c r="AA72" i="18"/>
  <c r="W73" i="18"/>
  <c r="AA73" i="18"/>
  <c r="AA69" i="18"/>
  <c r="W69" i="18"/>
  <c r="AA68" i="18"/>
  <c r="W68" i="18"/>
  <c r="W65" i="18"/>
  <c r="AA65" i="18"/>
  <c r="AA64" i="18"/>
  <c r="W64" i="18"/>
  <c r="AA63" i="18"/>
  <c r="W63" i="18"/>
  <c r="AA60" i="18"/>
  <c r="W60" i="18"/>
  <c r="AA59" i="18"/>
  <c r="W59" i="18"/>
  <c r="W50" i="18"/>
  <c r="AA50" i="18"/>
  <c r="W51" i="18"/>
  <c r="AA51" i="18"/>
  <c r="W52" i="18"/>
  <c r="AA52" i="18"/>
  <c r="W53" i="18"/>
  <c r="AA53" i="18"/>
  <c r="W54" i="18"/>
  <c r="AA54" i="18"/>
  <c r="W55" i="18"/>
  <c r="AA55" i="18"/>
  <c r="W56" i="18"/>
  <c r="AA56" i="18"/>
  <c r="AA49" i="18"/>
  <c r="W49" i="18"/>
  <c r="W30" i="18"/>
  <c r="AA30" i="18"/>
  <c r="W31" i="18"/>
  <c r="AA31" i="18"/>
  <c r="W32" i="18"/>
  <c r="AA32" i="18"/>
  <c r="W33" i="18"/>
  <c r="AA33" i="18"/>
  <c r="W34" i="18"/>
  <c r="AA34" i="18"/>
  <c r="W35" i="18"/>
  <c r="AA35" i="18"/>
  <c r="W36" i="18"/>
  <c r="AA36" i="18"/>
  <c r="W37" i="18"/>
  <c r="AA37" i="18"/>
  <c r="W38" i="18"/>
  <c r="AA38" i="18"/>
  <c r="W39" i="18"/>
  <c r="AA39" i="18"/>
  <c r="W40" i="18"/>
  <c r="AA40" i="18"/>
  <c r="W41" i="18"/>
  <c r="AA41" i="18"/>
  <c r="W42" i="18"/>
  <c r="AA42" i="18"/>
  <c r="W43" i="18"/>
  <c r="AA43" i="18"/>
  <c r="W44" i="18"/>
  <c r="AA44" i="18"/>
  <c r="AA29" i="18"/>
  <c r="W29" i="18"/>
  <c r="AA28" i="18"/>
  <c r="W28" i="18"/>
  <c r="W25" i="18"/>
  <c r="AA25" i="18"/>
  <c r="AA24" i="18"/>
  <c r="W24" i="18"/>
  <c r="AA19" i="18"/>
  <c r="AA20" i="18"/>
  <c r="AA21" i="18"/>
  <c r="W18" i="18"/>
  <c r="W19" i="18"/>
  <c r="W20" i="18"/>
  <c r="W21" i="18"/>
  <c r="AA11" i="18"/>
  <c r="AA12" i="18"/>
  <c r="AA13" i="18"/>
  <c r="AA14" i="18"/>
  <c r="W17" i="18"/>
  <c r="W10" i="18"/>
  <c r="W11" i="18"/>
  <c r="W12" i="18"/>
  <c r="W13" i="18"/>
  <c r="W14" i="18"/>
  <c r="W47" i="18" l="1"/>
  <c r="W98" i="16"/>
  <c r="AA47" i="18"/>
  <c r="AA98" i="16"/>
  <c r="W84" i="16"/>
  <c r="AA84" i="16"/>
  <c r="W165" i="16"/>
  <c r="AA165" i="16"/>
  <c r="W26" i="18"/>
  <c r="AA26" i="18"/>
  <c r="AA61" i="18"/>
  <c r="W66" i="18"/>
  <c r="W57" i="18"/>
  <c r="W74" i="18"/>
  <c r="AA57" i="18"/>
  <c r="AA74" i="18"/>
  <c r="W61" i="18"/>
  <c r="W83" i="18"/>
  <c r="AA66" i="18"/>
  <c r="AA83" i="18"/>
  <c r="W22" i="18"/>
  <c r="D5" i="35"/>
  <c r="N6" i="35"/>
  <c r="L59" i="35"/>
  <c r="L58" i="35"/>
  <c r="L60" i="35" s="1"/>
  <c r="I42" i="35"/>
  <c r="H31" i="35"/>
  <c r="F31" i="35"/>
  <c r="K31" i="35" s="1"/>
  <c r="L14" i="35"/>
  <c r="L13" i="35"/>
  <c r="D4" i="35"/>
  <c r="D161" i="2" l="1"/>
  <c r="G161" i="2"/>
  <c r="H161" i="2"/>
  <c r="L161" i="2"/>
  <c r="Y161" i="2" s="1"/>
  <c r="Y56" i="18" s="1"/>
  <c r="M161" i="2"/>
  <c r="N161" i="2"/>
  <c r="O161" i="2"/>
  <c r="X161" i="2"/>
  <c r="X56" i="18" s="1"/>
  <c r="C75" i="16"/>
  <c r="D75" i="16"/>
  <c r="E75" i="16"/>
  <c r="F75" i="16"/>
  <c r="K75" i="16"/>
  <c r="L75" i="16" s="1"/>
  <c r="S75" i="16"/>
  <c r="T75" i="16"/>
  <c r="U75" i="16"/>
  <c r="AD75" i="16"/>
  <c r="AE75" i="16"/>
  <c r="C76" i="16"/>
  <c r="D76" i="16"/>
  <c r="E76" i="16"/>
  <c r="F76" i="16"/>
  <c r="K76" i="16"/>
  <c r="L76" i="16" s="1"/>
  <c r="S76" i="16"/>
  <c r="T76" i="16"/>
  <c r="U76" i="16"/>
  <c r="AD76" i="16"/>
  <c r="AE76" i="16"/>
  <c r="C77" i="16"/>
  <c r="D77" i="16"/>
  <c r="E77" i="16"/>
  <c r="F77" i="16"/>
  <c r="K77" i="16"/>
  <c r="O77" i="16" s="1"/>
  <c r="S77" i="16"/>
  <c r="T77" i="16"/>
  <c r="U77" i="16"/>
  <c r="AD77" i="16"/>
  <c r="AE77" i="16"/>
  <c r="L130" i="2"/>
  <c r="M130" i="2"/>
  <c r="N130" i="2"/>
  <c r="O130" i="2"/>
  <c r="X130" i="2"/>
  <c r="X77" i="16" s="1"/>
  <c r="Y130" i="2"/>
  <c r="Y77" i="16" s="1"/>
  <c r="Z77" i="16"/>
  <c r="L128" i="2"/>
  <c r="M128" i="2"/>
  <c r="N128" i="2"/>
  <c r="O128" i="2"/>
  <c r="X128" i="2"/>
  <c r="X75" i="16" s="1"/>
  <c r="Y128" i="2"/>
  <c r="Y75" i="16" s="1"/>
  <c r="Z75" i="16"/>
  <c r="L129" i="2"/>
  <c r="M129" i="2"/>
  <c r="N129" i="2"/>
  <c r="O129" i="2"/>
  <c r="X129" i="2"/>
  <c r="X76" i="16" s="1"/>
  <c r="Y129" i="2"/>
  <c r="Y76" i="16" s="1"/>
  <c r="Z76" i="16"/>
  <c r="G128" i="2"/>
  <c r="G75" i="16" s="1"/>
  <c r="H75" i="16"/>
  <c r="G129" i="2"/>
  <c r="H76" i="16"/>
  <c r="G130" i="2"/>
  <c r="G77" i="16" s="1"/>
  <c r="H77" i="16"/>
  <c r="L200" i="2"/>
  <c r="M200" i="2"/>
  <c r="N200" i="2"/>
  <c r="O200" i="2"/>
  <c r="X200" i="2"/>
  <c r="X168" i="16" s="1"/>
  <c r="Y200" i="2"/>
  <c r="Y168" i="16" s="1"/>
  <c r="Z168" i="16"/>
  <c r="G200" i="2"/>
  <c r="G168" i="16" s="1"/>
  <c r="H200" i="2"/>
  <c r="H168" i="16" s="1"/>
  <c r="I168" i="16" l="1"/>
  <c r="J168" i="16"/>
  <c r="AB168" i="16"/>
  <c r="Z56" i="18"/>
  <c r="AB161" i="2"/>
  <c r="Q161" i="2"/>
  <c r="J161" i="2" s="1"/>
  <c r="I161" i="2"/>
  <c r="Q129" i="2"/>
  <c r="J129" i="2" s="1"/>
  <c r="Q130" i="2"/>
  <c r="J130" i="2" s="1"/>
  <c r="Q200" i="2"/>
  <c r="J200" i="2" s="1"/>
  <c r="I129" i="2"/>
  <c r="O76" i="16"/>
  <c r="I77" i="16"/>
  <c r="I75" i="16"/>
  <c r="AB129" i="2"/>
  <c r="O75" i="16"/>
  <c r="AB76" i="16"/>
  <c r="G76" i="16"/>
  <c r="I76" i="16" s="1"/>
  <c r="I130" i="2"/>
  <c r="I128" i="2"/>
  <c r="AB128" i="2"/>
  <c r="Q128" i="2"/>
  <c r="J128" i="2" s="1"/>
  <c r="AB130" i="2"/>
  <c r="AB75" i="16"/>
  <c r="AB77" i="16"/>
  <c r="N76" i="16"/>
  <c r="N75" i="16"/>
  <c r="N77" i="16"/>
  <c r="M77" i="16"/>
  <c r="M76" i="16"/>
  <c r="M75" i="16"/>
  <c r="L77" i="16"/>
  <c r="AB200" i="2"/>
  <c r="I200" i="2"/>
  <c r="K40" i="2" l="1"/>
  <c r="R129" i="2"/>
  <c r="R130" i="2"/>
  <c r="R161" i="2"/>
  <c r="R128" i="2"/>
  <c r="Q75" i="16"/>
  <c r="J75" i="16" s="1"/>
  <c r="Q76" i="16"/>
  <c r="J76" i="16" s="1"/>
  <c r="Q77" i="16"/>
  <c r="J77" i="16" s="1"/>
  <c r="R200" i="2"/>
  <c r="V129" i="2" l="1"/>
  <c r="AC129" i="2" s="1"/>
  <c r="R76" i="16"/>
  <c r="V76" i="16" s="1"/>
  <c r="AC76" i="16" s="1"/>
  <c r="V128" i="2"/>
  <c r="AC128" i="2" s="1"/>
  <c r="R75" i="16"/>
  <c r="V75" i="16" s="1"/>
  <c r="AC75" i="16" s="1"/>
  <c r="V161" i="2"/>
  <c r="AC161" i="2" s="1"/>
  <c r="R56" i="18"/>
  <c r="V200" i="2"/>
  <c r="AC200" i="2" s="1"/>
  <c r="R168" i="16"/>
  <c r="V168" i="16" s="1"/>
  <c r="AC168" i="16" s="1"/>
  <c r="V130" i="2"/>
  <c r="AC130" i="2" s="1"/>
  <c r="R77" i="16"/>
  <c r="V77" i="16" s="1"/>
  <c r="AC77" i="16" s="1"/>
  <c r="C13" i="20"/>
  <c r="C10" i="38" s="1"/>
  <c r="D13" i="20"/>
  <c r="D10" i="38" s="1"/>
  <c r="E13" i="20"/>
  <c r="E10" i="38" s="1"/>
  <c r="F13" i="20"/>
  <c r="K13" i="20"/>
  <c r="L13" i="20" s="1"/>
  <c r="S13" i="20"/>
  <c r="T13" i="20"/>
  <c r="W13" i="20"/>
  <c r="AA13" i="20"/>
  <c r="AD13" i="20"/>
  <c r="AE13" i="20"/>
  <c r="F10" i="38" s="1"/>
  <c r="C61" i="20"/>
  <c r="D61" i="20"/>
  <c r="E61" i="20"/>
  <c r="F61" i="20"/>
  <c r="K61" i="20"/>
  <c r="L61" i="20" s="1"/>
  <c r="S61" i="20"/>
  <c r="T61" i="20"/>
  <c r="W61" i="20"/>
  <c r="AA61" i="20"/>
  <c r="AD61" i="20"/>
  <c r="AE54" i="20"/>
  <c r="AE55" i="20"/>
  <c r="AE56" i="20"/>
  <c r="AE57" i="20"/>
  <c r="AE58" i="20"/>
  <c r="AE59" i="20"/>
  <c r="F49" i="38" s="1"/>
  <c r="AE60" i="20"/>
  <c r="AE61" i="20"/>
  <c r="L368" i="2"/>
  <c r="M368" i="2"/>
  <c r="N368" i="2"/>
  <c r="O368" i="2"/>
  <c r="U61" i="20"/>
  <c r="X368" i="2"/>
  <c r="X61" i="20" s="1"/>
  <c r="Y368" i="2"/>
  <c r="Y61" i="20" s="1"/>
  <c r="L367" i="2"/>
  <c r="M367" i="2"/>
  <c r="N367" i="2"/>
  <c r="O367" i="2"/>
  <c r="U13" i="20"/>
  <c r="X367" i="2"/>
  <c r="X13" i="20" s="1"/>
  <c r="Y367" i="2"/>
  <c r="Y13" i="20" s="1"/>
  <c r="Z13" i="20"/>
  <c r="G367" i="2"/>
  <c r="H367" i="2"/>
  <c r="H13" i="20" s="1"/>
  <c r="G368" i="2"/>
  <c r="G61" i="20" s="1"/>
  <c r="H368" i="2"/>
  <c r="H61" i="20" s="1"/>
  <c r="P18" i="16"/>
  <c r="C17" i="16"/>
  <c r="D17" i="16"/>
  <c r="E17" i="16"/>
  <c r="F17" i="16"/>
  <c r="K17" i="16"/>
  <c r="L17" i="16" s="1"/>
  <c r="S17" i="16"/>
  <c r="T17" i="16"/>
  <c r="U17" i="16"/>
  <c r="AD17" i="16"/>
  <c r="AE17" i="16"/>
  <c r="G34" i="2"/>
  <c r="H17" i="16"/>
  <c r="L34" i="2"/>
  <c r="M34" i="2"/>
  <c r="N34" i="2"/>
  <c r="O34" i="2"/>
  <c r="X34" i="2"/>
  <c r="X17" i="16" s="1"/>
  <c r="Y34" i="2"/>
  <c r="Y17" i="16" s="1"/>
  <c r="Z17" i="16"/>
  <c r="AA35" i="2"/>
  <c r="C73" i="20"/>
  <c r="C61" i="38" s="1"/>
  <c r="D73" i="20"/>
  <c r="E73" i="20"/>
  <c r="E61" i="38" s="1"/>
  <c r="F73" i="20"/>
  <c r="K73" i="20"/>
  <c r="L73" i="20" s="1"/>
  <c r="S73" i="20"/>
  <c r="T73" i="20"/>
  <c r="W73" i="20"/>
  <c r="AA73" i="20"/>
  <c r="AD73" i="20"/>
  <c r="AE73" i="20"/>
  <c r="F61" i="38" s="1"/>
  <c r="X224" i="2"/>
  <c r="X73" i="20" s="1"/>
  <c r="Y224" i="2"/>
  <c r="Y73" i="20" s="1"/>
  <c r="G224" i="2"/>
  <c r="H224" i="2"/>
  <c r="H73" i="20" s="1"/>
  <c r="L224" i="2"/>
  <c r="M224" i="2"/>
  <c r="N224" i="2"/>
  <c r="O224" i="2"/>
  <c r="AE76" i="20"/>
  <c r="F62" i="38" s="1"/>
  <c r="AD76" i="20"/>
  <c r="AA76" i="20"/>
  <c r="AA77" i="20" s="1"/>
  <c r="W76" i="20"/>
  <c r="W77" i="20" s="1"/>
  <c r="T76" i="20"/>
  <c r="T77" i="20" s="1"/>
  <c r="S76" i="20"/>
  <c r="S77" i="20" s="1"/>
  <c r="K76" i="20"/>
  <c r="K77" i="20" s="1"/>
  <c r="F76" i="20"/>
  <c r="E76" i="20"/>
  <c r="E62" i="38" s="1"/>
  <c r="C76" i="20"/>
  <c r="C62" i="38" s="1"/>
  <c r="E51" i="38" l="1"/>
  <c r="F48" i="38"/>
  <c r="F51" i="38"/>
  <c r="D51" i="38"/>
  <c r="F47" i="38"/>
  <c r="F50" i="38"/>
  <c r="C51" i="38"/>
  <c r="C58" i="38"/>
  <c r="G144" i="26"/>
  <c r="F58" i="38"/>
  <c r="F46" i="38"/>
  <c r="F45" i="38"/>
  <c r="F44" i="38"/>
  <c r="E58" i="38"/>
  <c r="L76" i="20"/>
  <c r="L77" i="20" s="1"/>
  <c r="AA40" i="2"/>
  <c r="AB17" i="16"/>
  <c r="Q367" i="2"/>
  <c r="J367" i="2" s="1"/>
  <c r="Q368" i="2"/>
  <c r="J368" i="2" s="1"/>
  <c r="I367" i="2"/>
  <c r="AB13" i="20"/>
  <c r="G13" i="20"/>
  <c r="I13" i="20" s="1"/>
  <c r="O61" i="20"/>
  <c r="I61" i="20"/>
  <c r="O13" i="20"/>
  <c r="M61" i="20"/>
  <c r="N13" i="20"/>
  <c r="M13" i="20"/>
  <c r="AB61" i="20"/>
  <c r="N61" i="20"/>
  <c r="Q224" i="2"/>
  <c r="J224" i="2" s="1"/>
  <c r="Q34" i="2"/>
  <c r="J34" i="2" s="1"/>
  <c r="AB368" i="2"/>
  <c r="I368" i="2"/>
  <c r="AB367" i="2"/>
  <c r="I34" i="2"/>
  <c r="O17" i="16"/>
  <c r="I224" i="2"/>
  <c r="G17" i="16"/>
  <c r="I17" i="16" s="1"/>
  <c r="N17" i="16"/>
  <c r="M17" i="16"/>
  <c r="AB34" i="2"/>
  <c r="G73" i="20"/>
  <c r="I73" i="20" s="1"/>
  <c r="O73" i="20"/>
  <c r="AB224" i="2"/>
  <c r="Z73" i="20"/>
  <c r="AB73" i="20" s="1"/>
  <c r="U73" i="20"/>
  <c r="N73" i="20"/>
  <c r="M73" i="20"/>
  <c r="N76" i="20"/>
  <c r="N77" i="20" s="1"/>
  <c r="M76" i="20"/>
  <c r="M77" i="20" s="1"/>
  <c r="O76" i="20"/>
  <c r="O77" i="20" s="1"/>
  <c r="R367" i="2" l="1"/>
  <c r="Q13" i="20"/>
  <c r="J13" i="20" s="1"/>
  <c r="Q61" i="20"/>
  <c r="J61" i="20" s="1"/>
  <c r="R368" i="2"/>
  <c r="R34" i="2"/>
  <c r="Q17" i="16"/>
  <c r="J17" i="16" s="1"/>
  <c r="R224" i="2"/>
  <c r="Q73" i="20"/>
  <c r="J73" i="20" s="1"/>
  <c r="Q76" i="20"/>
  <c r="Q77" i="20" s="1"/>
  <c r="V224" i="2" l="1"/>
  <c r="AC224" i="2" s="1"/>
  <c r="R73" i="20"/>
  <c r="V73" i="20" s="1"/>
  <c r="AC73" i="20" s="1"/>
  <c r="V368" i="2"/>
  <c r="AC368" i="2" s="1"/>
  <c r="R61" i="20"/>
  <c r="V61" i="20" s="1"/>
  <c r="AC61" i="20" s="1"/>
  <c r="V34" i="2"/>
  <c r="AC34" i="2" s="1"/>
  <c r="R17" i="16"/>
  <c r="V17" i="16" s="1"/>
  <c r="AC17" i="16" s="1"/>
  <c r="V367" i="2"/>
  <c r="AC367" i="2" s="1"/>
  <c r="R13" i="20"/>
  <c r="V13" i="20" s="1"/>
  <c r="AC13" i="20" s="1"/>
  <c r="G10" i="38" s="1"/>
  <c r="L230" i="2"/>
  <c r="M230" i="2"/>
  <c r="N230" i="2"/>
  <c r="O230" i="2"/>
  <c r="U76" i="20"/>
  <c r="U77" i="20" s="1"/>
  <c r="X230" i="2"/>
  <c r="X21" i="14" s="1"/>
  <c r="Y230" i="2"/>
  <c r="Z230" i="2"/>
  <c r="Z21" i="14" s="1"/>
  <c r="G230" i="2"/>
  <c r="G21" i="14" s="1"/>
  <c r="H230" i="2"/>
  <c r="C54" i="20"/>
  <c r="D54" i="20"/>
  <c r="E54" i="20"/>
  <c r="F54" i="20"/>
  <c r="K54" i="20"/>
  <c r="L54" i="20" s="1"/>
  <c r="S54" i="20"/>
  <c r="T54" i="20"/>
  <c r="W54" i="20"/>
  <c r="AA54" i="20"/>
  <c r="AD54" i="20"/>
  <c r="C55" i="20"/>
  <c r="D55" i="20"/>
  <c r="E55" i="20"/>
  <c r="F55" i="20"/>
  <c r="K55" i="20"/>
  <c r="M55" i="20" s="1"/>
  <c r="S55" i="20"/>
  <c r="T55" i="20"/>
  <c r="W55" i="20"/>
  <c r="AA55" i="20"/>
  <c r="AD55" i="20"/>
  <c r="C56" i="20"/>
  <c r="D56" i="20"/>
  <c r="E56" i="20"/>
  <c r="F56" i="20"/>
  <c r="K56" i="20"/>
  <c r="N56" i="20" s="1"/>
  <c r="S56" i="20"/>
  <c r="T56" i="20"/>
  <c r="W56" i="20"/>
  <c r="AA56" i="20"/>
  <c r="AD56" i="20"/>
  <c r="C57" i="20"/>
  <c r="D57" i="20"/>
  <c r="E57" i="20"/>
  <c r="F57" i="20"/>
  <c r="K57" i="20"/>
  <c r="N57" i="20" s="1"/>
  <c r="S57" i="20"/>
  <c r="T57" i="20"/>
  <c r="W57" i="20"/>
  <c r="AA57" i="20"/>
  <c r="AD57" i="20"/>
  <c r="C58" i="20"/>
  <c r="C48" i="38" s="1"/>
  <c r="D58" i="20"/>
  <c r="D48" i="38" s="1"/>
  <c r="E58" i="20"/>
  <c r="E48" i="38" s="1"/>
  <c r="F58" i="20"/>
  <c r="K58" i="20"/>
  <c r="L58" i="20" s="1"/>
  <c r="S58" i="20"/>
  <c r="T58" i="20"/>
  <c r="W58" i="20"/>
  <c r="AA58" i="20"/>
  <c r="AD58" i="20"/>
  <c r="C59" i="20"/>
  <c r="C49" i="38" s="1"/>
  <c r="D59" i="20"/>
  <c r="D49" i="38" s="1"/>
  <c r="E59" i="20"/>
  <c r="E49" i="38" s="1"/>
  <c r="F59" i="20"/>
  <c r="K59" i="20"/>
  <c r="M59" i="20" s="1"/>
  <c r="S59" i="20"/>
  <c r="T59" i="20"/>
  <c r="W59" i="20"/>
  <c r="AA59" i="20"/>
  <c r="AD59" i="20"/>
  <c r="C60" i="20"/>
  <c r="D60" i="20"/>
  <c r="E60" i="20"/>
  <c r="F60" i="20"/>
  <c r="K60" i="20"/>
  <c r="N60" i="20" s="1"/>
  <c r="S60" i="20"/>
  <c r="T60" i="20"/>
  <c r="W60" i="20"/>
  <c r="AA60" i="20"/>
  <c r="AD60" i="20"/>
  <c r="X360" i="2"/>
  <c r="X54" i="20" s="1"/>
  <c r="Y360" i="2"/>
  <c r="Y54" i="20" s="1"/>
  <c r="Z54" i="20"/>
  <c r="X361" i="2"/>
  <c r="Y361" i="2"/>
  <c r="Y55" i="20" s="1"/>
  <c r="Z55" i="20"/>
  <c r="X362" i="2"/>
  <c r="X56" i="20" s="1"/>
  <c r="Y362" i="2"/>
  <c r="Y56" i="20" s="1"/>
  <c r="X363" i="2"/>
  <c r="X57" i="20" s="1"/>
  <c r="Y363" i="2"/>
  <c r="Y57" i="20" s="1"/>
  <c r="Z57" i="20"/>
  <c r="X364" i="2"/>
  <c r="Y364" i="2"/>
  <c r="Y58" i="20" s="1"/>
  <c r="X365" i="2"/>
  <c r="X59" i="20" s="1"/>
  <c r="Y365" i="2"/>
  <c r="Y59" i="20" s="1"/>
  <c r="Z59" i="20"/>
  <c r="X366" i="2"/>
  <c r="X60" i="20" s="1"/>
  <c r="Y366" i="2"/>
  <c r="Y60" i="20" s="1"/>
  <c r="U54" i="20"/>
  <c r="U55" i="20"/>
  <c r="U56" i="20"/>
  <c r="U57" i="20"/>
  <c r="U58" i="20"/>
  <c r="U59" i="20"/>
  <c r="U60" i="20"/>
  <c r="L360" i="2"/>
  <c r="M360" i="2"/>
  <c r="N360" i="2"/>
  <c r="O360" i="2"/>
  <c r="L361" i="2"/>
  <c r="M361" i="2"/>
  <c r="N361" i="2"/>
  <c r="O361" i="2"/>
  <c r="L362" i="2"/>
  <c r="M362" i="2"/>
  <c r="N362" i="2"/>
  <c r="O362" i="2"/>
  <c r="L363" i="2"/>
  <c r="M363" i="2"/>
  <c r="N363" i="2"/>
  <c r="O363" i="2"/>
  <c r="L364" i="2"/>
  <c r="M364" i="2"/>
  <c r="N364" i="2"/>
  <c r="O364" i="2"/>
  <c r="L365" i="2"/>
  <c r="M365" i="2"/>
  <c r="N365" i="2"/>
  <c r="O365" i="2"/>
  <c r="L366" i="2"/>
  <c r="M366" i="2"/>
  <c r="N366" i="2"/>
  <c r="O366" i="2"/>
  <c r="G360" i="2"/>
  <c r="H360" i="2"/>
  <c r="H54" i="20" s="1"/>
  <c r="G361" i="2"/>
  <c r="H361" i="2"/>
  <c r="H55" i="20" s="1"/>
  <c r="G362" i="2"/>
  <c r="H362" i="2"/>
  <c r="H56" i="20" s="1"/>
  <c r="G363" i="2"/>
  <c r="H363" i="2"/>
  <c r="H57" i="20" s="1"/>
  <c r="G364" i="2"/>
  <c r="H364" i="2"/>
  <c r="H58" i="20" s="1"/>
  <c r="G365" i="2"/>
  <c r="H365" i="2"/>
  <c r="H59" i="20" s="1"/>
  <c r="G366" i="2"/>
  <c r="G60" i="20" s="1"/>
  <c r="H366" i="2"/>
  <c r="H60" i="20" s="1"/>
  <c r="D47" i="38" l="1"/>
  <c r="D50" i="38"/>
  <c r="C47" i="38"/>
  <c r="C50" i="38"/>
  <c r="G51" i="38"/>
  <c r="E47" i="38"/>
  <c r="E50" i="38"/>
  <c r="Z58" i="20"/>
  <c r="E46" i="38"/>
  <c r="D46" i="38"/>
  <c r="C46" i="38"/>
  <c r="E45" i="38"/>
  <c r="D45" i="38"/>
  <c r="C45" i="38"/>
  <c r="E44" i="38"/>
  <c r="D44" i="38"/>
  <c r="C44" i="38"/>
  <c r="H21" i="14"/>
  <c r="I21" i="14" s="1"/>
  <c r="J21" i="14"/>
  <c r="Y21" i="14"/>
  <c r="AB21" i="14" s="1"/>
  <c r="Q230" i="2"/>
  <c r="J230" i="2" s="1"/>
  <c r="Q360" i="2"/>
  <c r="J360" i="2" s="1"/>
  <c r="Q366" i="2"/>
  <c r="J366" i="2" s="1"/>
  <c r="AB366" i="2"/>
  <c r="Q365" i="2"/>
  <c r="J365" i="2" s="1"/>
  <c r="Q364" i="2"/>
  <c r="J364" i="2" s="1"/>
  <c r="Q363" i="2"/>
  <c r="J363" i="2" s="1"/>
  <c r="AB361" i="2"/>
  <c r="Q361" i="2"/>
  <c r="J361" i="2" s="1"/>
  <c r="Q362" i="2"/>
  <c r="J362" i="2" s="1"/>
  <c r="AB365" i="2"/>
  <c r="I365" i="2"/>
  <c r="I363" i="2"/>
  <c r="I361" i="2"/>
  <c r="I230" i="2"/>
  <c r="AB363" i="2"/>
  <c r="I60" i="20"/>
  <c r="AB230" i="2"/>
  <c r="L55" i="20"/>
  <c r="O56" i="20"/>
  <c r="O55" i="20"/>
  <c r="M60" i="20"/>
  <c r="O59" i="20"/>
  <c r="AB54" i="20"/>
  <c r="L59" i="20"/>
  <c r="I364" i="2"/>
  <c r="I362" i="2"/>
  <c r="I360" i="2"/>
  <c r="AB364" i="2"/>
  <c r="AB362" i="2"/>
  <c r="AB60" i="20"/>
  <c r="AB59" i="20"/>
  <c r="X58" i="20"/>
  <c r="G58" i="20"/>
  <c r="I58" i="20" s="1"/>
  <c r="Z56" i="20"/>
  <c r="AB56" i="20" s="1"/>
  <c r="M56" i="20"/>
  <c r="G56" i="20"/>
  <c r="I56" i="20" s="1"/>
  <c r="G54" i="20"/>
  <c r="I54" i="20" s="1"/>
  <c r="I366" i="2"/>
  <c r="AB360" i="2"/>
  <c r="L60" i="20"/>
  <c r="O58" i="20"/>
  <c r="G57" i="20"/>
  <c r="I57" i="20" s="1"/>
  <c r="L56" i="20"/>
  <c r="X55" i="20"/>
  <c r="AB55" i="20" s="1"/>
  <c r="O54" i="20"/>
  <c r="G59" i="20"/>
  <c r="I59" i="20" s="1"/>
  <c r="AB57" i="20"/>
  <c r="O57" i="20"/>
  <c r="G55" i="20"/>
  <c r="I55" i="20" s="1"/>
  <c r="O60" i="20"/>
  <c r="N58" i="20"/>
  <c r="M57" i="20"/>
  <c r="N54" i="20"/>
  <c r="N59" i="20"/>
  <c r="M58" i="20"/>
  <c r="L57" i="20"/>
  <c r="N55" i="20"/>
  <c r="M54" i="20"/>
  <c r="R363" i="2" l="1"/>
  <c r="AB58" i="20"/>
  <c r="Q56" i="20"/>
  <c r="J56" i="20" s="1"/>
  <c r="Q59" i="20"/>
  <c r="J59" i="20" s="1"/>
  <c r="R365" i="2"/>
  <c r="R230" i="2"/>
  <c r="R361" i="2"/>
  <c r="Q55" i="20"/>
  <c r="J55" i="20" s="1"/>
  <c r="Q60" i="20"/>
  <c r="J60" i="20" s="1"/>
  <c r="Q54" i="20"/>
  <c r="J54" i="20" s="1"/>
  <c r="Q57" i="20"/>
  <c r="J57" i="20" s="1"/>
  <c r="Q58" i="20"/>
  <c r="J58" i="20" s="1"/>
  <c r="R366" i="2"/>
  <c r="R360" i="2"/>
  <c r="R362" i="2"/>
  <c r="R364" i="2"/>
  <c r="V362" i="2" l="1"/>
  <c r="AC362" i="2" s="1"/>
  <c r="R56" i="20"/>
  <c r="V56" i="20" s="1"/>
  <c r="AC56" i="20" s="1"/>
  <c r="V360" i="2"/>
  <c r="AC360" i="2" s="1"/>
  <c r="R54" i="20"/>
  <c r="V54" i="20" s="1"/>
  <c r="AC54" i="20" s="1"/>
  <c r="V361" i="2"/>
  <c r="AC361" i="2" s="1"/>
  <c r="R55" i="20"/>
  <c r="V55" i="20" s="1"/>
  <c r="AC55" i="20" s="1"/>
  <c r="V366" i="2"/>
  <c r="AC366" i="2" s="1"/>
  <c r="R60" i="20"/>
  <c r="V60" i="20" s="1"/>
  <c r="AC60" i="20" s="1"/>
  <c r="V365" i="2"/>
  <c r="AC365" i="2" s="1"/>
  <c r="R59" i="20"/>
  <c r="V59" i="20" s="1"/>
  <c r="AC59" i="20" s="1"/>
  <c r="G49" i="38" s="1"/>
  <c r="V363" i="2"/>
  <c r="AC363" i="2" s="1"/>
  <c r="R57" i="20"/>
  <c r="V57" i="20" s="1"/>
  <c r="AC57" i="20" s="1"/>
  <c r="V230" i="2"/>
  <c r="AC230" i="2" s="1"/>
  <c r="R21" i="14"/>
  <c r="V21" i="14" s="1"/>
  <c r="AC21" i="14" s="1"/>
  <c r="V364" i="2"/>
  <c r="AC364" i="2" s="1"/>
  <c r="R58" i="20"/>
  <c r="V58" i="20" s="1"/>
  <c r="AC58" i="20" s="1"/>
  <c r="G48" i="38" s="1"/>
  <c r="G47" i="38" l="1"/>
  <c r="G50" i="38"/>
  <c r="G45" i="38"/>
  <c r="G44" i="38"/>
  <c r="G46" i="38"/>
  <c r="F63" i="17"/>
  <c r="C146" i="16" l="1"/>
  <c r="E146" i="16"/>
  <c r="F146" i="16"/>
  <c r="K146" i="16"/>
  <c r="L146" i="16" s="1"/>
  <c r="S146" i="16"/>
  <c r="T146" i="16"/>
  <c r="AD146" i="16"/>
  <c r="AE146" i="16"/>
  <c r="C145" i="16"/>
  <c r="D145" i="16"/>
  <c r="E145" i="16"/>
  <c r="F145" i="16"/>
  <c r="K145" i="16"/>
  <c r="L145" i="16" s="1"/>
  <c r="S145" i="16"/>
  <c r="T145" i="16"/>
  <c r="U145" i="16"/>
  <c r="AD145" i="16"/>
  <c r="AE145" i="16"/>
  <c r="O146" i="16" l="1"/>
  <c r="N146" i="16"/>
  <c r="M146" i="16"/>
  <c r="O145" i="16"/>
  <c r="N145" i="16"/>
  <c r="M145" i="16"/>
  <c r="Q145" i="16" l="1"/>
  <c r="Q146" i="16"/>
  <c r="W173" i="2" l="1"/>
  <c r="W164" i="2"/>
  <c r="AA164" i="2"/>
  <c r="P23" i="2"/>
  <c r="S23" i="2"/>
  <c r="T23" i="2"/>
  <c r="H8" i="23" l="1"/>
  <c r="T35" i="2"/>
  <c r="S35" i="2"/>
  <c r="W241" i="2"/>
  <c r="P35" i="2"/>
  <c r="W231" i="2"/>
  <c r="AA173" i="2"/>
  <c r="AA14" i="30"/>
  <c r="AD14" i="30"/>
  <c r="AE14" i="30"/>
  <c r="F198" i="26" s="1"/>
  <c r="AE13" i="30"/>
  <c r="F197" i="26" s="1"/>
  <c r="AD13" i="30"/>
  <c r="AA13" i="30"/>
  <c r="AE12" i="30"/>
  <c r="AD12" i="30"/>
  <c r="AA12" i="30"/>
  <c r="AE9" i="30"/>
  <c r="AE8" i="30"/>
  <c r="F194" i="26" s="1"/>
  <c r="AD9" i="30"/>
  <c r="AD8" i="30"/>
  <c r="AA9" i="30"/>
  <c r="AA8" i="30"/>
  <c r="AE79" i="20"/>
  <c r="F63" i="38" s="1"/>
  <c r="AD79" i="20"/>
  <c r="AA79" i="20"/>
  <c r="AA87" i="20" s="1"/>
  <c r="AE72" i="20"/>
  <c r="AD72" i="20"/>
  <c r="AA72" i="20"/>
  <c r="AE69" i="20"/>
  <c r="F54" i="38" s="1"/>
  <c r="AD69" i="20"/>
  <c r="AA69" i="20"/>
  <c r="AE68" i="20"/>
  <c r="AD68" i="20"/>
  <c r="AA68" i="20"/>
  <c r="AA46" i="20"/>
  <c r="AD46" i="20"/>
  <c r="AE46" i="20"/>
  <c r="AA47" i="20"/>
  <c r="AD47" i="20"/>
  <c r="AE47" i="20"/>
  <c r="AA48" i="20"/>
  <c r="AD48" i="20"/>
  <c r="AE48" i="20"/>
  <c r="AA49" i="20"/>
  <c r="AD49" i="20"/>
  <c r="AE49" i="20"/>
  <c r="AA50" i="20"/>
  <c r="AD50" i="20"/>
  <c r="AE50" i="20"/>
  <c r="AA51" i="20"/>
  <c r="AD51" i="20"/>
  <c r="AE51" i="20"/>
  <c r="F41" i="38" s="1"/>
  <c r="AA52" i="20"/>
  <c r="AD52" i="20"/>
  <c r="AE52" i="20"/>
  <c r="F42" i="38" s="1"/>
  <c r="AA53" i="20"/>
  <c r="AD53" i="20"/>
  <c r="AE53" i="20"/>
  <c r="F43" i="38" s="1"/>
  <c r="AA38" i="20"/>
  <c r="AD38" i="20"/>
  <c r="AE38" i="20"/>
  <c r="AA39" i="20"/>
  <c r="AD39" i="20"/>
  <c r="AE39" i="20"/>
  <c r="AA40" i="20"/>
  <c r="AD40" i="20"/>
  <c r="AE40" i="20"/>
  <c r="AA41" i="20"/>
  <c r="AD41" i="20"/>
  <c r="AE41" i="20"/>
  <c r="AA42" i="20"/>
  <c r="AD42" i="20"/>
  <c r="AE42" i="20"/>
  <c r="AA43" i="20"/>
  <c r="AD43" i="20"/>
  <c r="AE43" i="20"/>
  <c r="AA44" i="20"/>
  <c r="AD44" i="20"/>
  <c r="AE44" i="20"/>
  <c r="AA45" i="20"/>
  <c r="AD45" i="20"/>
  <c r="AE45" i="20"/>
  <c r="AA34" i="20"/>
  <c r="AD34" i="20"/>
  <c r="AE34" i="20"/>
  <c r="AA35" i="20"/>
  <c r="AD35" i="20"/>
  <c r="AE35" i="20"/>
  <c r="F15" i="38" s="1"/>
  <c r="AA36" i="20"/>
  <c r="AD36" i="20"/>
  <c r="AE36" i="20"/>
  <c r="AA37" i="20"/>
  <c r="AD37" i="20"/>
  <c r="AE37" i="20"/>
  <c r="AA31" i="20"/>
  <c r="AD31" i="20"/>
  <c r="AE31" i="20"/>
  <c r="AA32" i="20"/>
  <c r="AD32" i="20"/>
  <c r="AE32" i="20"/>
  <c r="AA33" i="20"/>
  <c r="AD33" i="20"/>
  <c r="AE33" i="20"/>
  <c r="AE30" i="20"/>
  <c r="AD30" i="20"/>
  <c r="AA30" i="20"/>
  <c r="AE24" i="20"/>
  <c r="F13" i="38" s="1"/>
  <c r="AD24" i="20"/>
  <c r="AA24" i="20"/>
  <c r="AA12" i="20"/>
  <c r="AD12" i="20"/>
  <c r="AE12" i="20"/>
  <c r="F9" i="38" s="1"/>
  <c r="AE11" i="20"/>
  <c r="F8" i="38" s="1"/>
  <c r="AD11" i="20"/>
  <c r="AA11" i="20"/>
  <c r="W12" i="20"/>
  <c r="T12" i="20"/>
  <c r="S12" i="20"/>
  <c r="K12" i="20"/>
  <c r="M12" i="20" s="1"/>
  <c r="F12" i="20"/>
  <c r="E12" i="20"/>
  <c r="E9" i="38" s="1"/>
  <c r="C12" i="20"/>
  <c r="C9" i="38" s="1"/>
  <c r="W11" i="20"/>
  <c r="T11" i="20"/>
  <c r="S11" i="20"/>
  <c r="K11" i="20"/>
  <c r="F11" i="20"/>
  <c r="E11" i="20"/>
  <c r="E8" i="38" s="1"/>
  <c r="C11" i="20"/>
  <c r="C8" i="38" s="1"/>
  <c r="W24" i="20"/>
  <c r="T24" i="20"/>
  <c r="S24" i="20"/>
  <c r="K24" i="20"/>
  <c r="M24" i="20" s="1"/>
  <c r="F24" i="20"/>
  <c r="E24" i="20"/>
  <c r="E13" i="38" s="1"/>
  <c r="C24" i="20"/>
  <c r="C13" i="38" s="1"/>
  <c r="AA32" i="14"/>
  <c r="AD32" i="14"/>
  <c r="AE32" i="14"/>
  <c r="F171" i="26" s="1"/>
  <c r="AA33" i="14"/>
  <c r="AD33" i="14"/>
  <c r="AE33" i="14"/>
  <c r="F172" i="26" s="1"/>
  <c r="AA34" i="14"/>
  <c r="AD34" i="14"/>
  <c r="AE34" i="14"/>
  <c r="F173" i="26" s="1"/>
  <c r="AA35" i="14"/>
  <c r="AD35" i="14"/>
  <c r="AE35" i="14"/>
  <c r="F174" i="26" s="1"/>
  <c r="AA36" i="14"/>
  <c r="AD36" i="14"/>
  <c r="AE36" i="14"/>
  <c r="F175" i="26" s="1"/>
  <c r="AA37" i="14"/>
  <c r="AD37" i="14"/>
  <c r="AE37" i="14"/>
  <c r="F176" i="26" s="1"/>
  <c r="AA26" i="14"/>
  <c r="AD26" i="14"/>
  <c r="AE26" i="14"/>
  <c r="AA27" i="14"/>
  <c r="AD27" i="14"/>
  <c r="AE27" i="14"/>
  <c r="AA28" i="14"/>
  <c r="AD28" i="14"/>
  <c r="AE28" i="14"/>
  <c r="F167" i="26" s="1"/>
  <c r="AA29" i="14"/>
  <c r="AD29" i="14"/>
  <c r="AE29" i="14"/>
  <c r="F168" i="26" s="1"/>
  <c r="AA30" i="14"/>
  <c r="AD30" i="14"/>
  <c r="AE30" i="14"/>
  <c r="F169" i="26" s="1"/>
  <c r="AA31" i="14"/>
  <c r="AD31" i="14"/>
  <c r="AE31" i="14"/>
  <c r="F170" i="26" s="1"/>
  <c r="AE25" i="14"/>
  <c r="AD25" i="14"/>
  <c r="AA25" i="14"/>
  <c r="AE20" i="14"/>
  <c r="AD20" i="14"/>
  <c r="AA20" i="14"/>
  <c r="AE19" i="14"/>
  <c r="AD19" i="14"/>
  <c r="AA19" i="14"/>
  <c r="AA14" i="14"/>
  <c r="AD14" i="14"/>
  <c r="AE14" i="14"/>
  <c r="AA15" i="14"/>
  <c r="AD15" i="14"/>
  <c r="AE15" i="14"/>
  <c r="AA16" i="14"/>
  <c r="AD16" i="14"/>
  <c r="AE16" i="14"/>
  <c r="AE12" i="14"/>
  <c r="AD12" i="14"/>
  <c r="AA12" i="14"/>
  <c r="AA9" i="14"/>
  <c r="AD9" i="14"/>
  <c r="AE9" i="14"/>
  <c r="AE8" i="14"/>
  <c r="AD8" i="14"/>
  <c r="AA8" i="14"/>
  <c r="AD154" i="16"/>
  <c r="AE154" i="16"/>
  <c r="AD155" i="16"/>
  <c r="AE155" i="16"/>
  <c r="AD156" i="16"/>
  <c r="AE156" i="16"/>
  <c r="F138" i="26" s="1"/>
  <c r="AD147" i="16"/>
  <c r="AE147" i="16"/>
  <c r="AD148" i="16"/>
  <c r="AE148" i="16"/>
  <c r="F127" i="26" s="1"/>
  <c r="AD149" i="16"/>
  <c r="AE149" i="16"/>
  <c r="AD150" i="16"/>
  <c r="AE150" i="16"/>
  <c r="AD151" i="16"/>
  <c r="AE151" i="16"/>
  <c r="AD152" i="16"/>
  <c r="AE152" i="16"/>
  <c r="AD153" i="16"/>
  <c r="AE153" i="16"/>
  <c r="AD134" i="16"/>
  <c r="AE134" i="16"/>
  <c r="AD135" i="16"/>
  <c r="AE135" i="16"/>
  <c r="AD136" i="16"/>
  <c r="AE136" i="16"/>
  <c r="AD137" i="16"/>
  <c r="AE137" i="16"/>
  <c r="AD138" i="16"/>
  <c r="AE138" i="16"/>
  <c r="AD139" i="16"/>
  <c r="AE139" i="16"/>
  <c r="AD140" i="16"/>
  <c r="AE140" i="16"/>
  <c r="AD141" i="16"/>
  <c r="AE141" i="16"/>
  <c r="AD142" i="16"/>
  <c r="AE142" i="16"/>
  <c r="AD143" i="16"/>
  <c r="AE143" i="16"/>
  <c r="AD144" i="16"/>
  <c r="AE144" i="16"/>
  <c r="AD128" i="16"/>
  <c r="AE128" i="16"/>
  <c r="AD129" i="16"/>
  <c r="AE129" i="16"/>
  <c r="AD130" i="16"/>
  <c r="AE130" i="16"/>
  <c r="AD131" i="16"/>
  <c r="AE131" i="16"/>
  <c r="AD132" i="16"/>
  <c r="AE132" i="16"/>
  <c r="AD133" i="16"/>
  <c r="AE133" i="16"/>
  <c r="AD121" i="16"/>
  <c r="AE121" i="16"/>
  <c r="AD122" i="16"/>
  <c r="AE122" i="16"/>
  <c r="AD123" i="16"/>
  <c r="AE123" i="16"/>
  <c r="AD124" i="16"/>
  <c r="AE124" i="16"/>
  <c r="AD125" i="16"/>
  <c r="AE125" i="16"/>
  <c r="AD126" i="16"/>
  <c r="AE126" i="16"/>
  <c r="AD127" i="16"/>
  <c r="AE127" i="16"/>
  <c r="AE120" i="16"/>
  <c r="AD120" i="16"/>
  <c r="AE107" i="16"/>
  <c r="AD107" i="16"/>
  <c r="AD104" i="16"/>
  <c r="AE104" i="16"/>
  <c r="AE103" i="16"/>
  <c r="AD103" i="16"/>
  <c r="AE102" i="16"/>
  <c r="AD102" i="16"/>
  <c r="AE100" i="16"/>
  <c r="AD100" i="16"/>
  <c r="AD93" i="16"/>
  <c r="AE93" i="16"/>
  <c r="AD94" i="16"/>
  <c r="AE94" i="16"/>
  <c r="AD95" i="16"/>
  <c r="AE95" i="16"/>
  <c r="AD96" i="16"/>
  <c r="AE96" i="16"/>
  <c r="AE92" i="16"/>
  <c r="AD92" i="16"/>
  <c r="AE90" i="16"/>
  <c r="AD90" i="16"/>
  <c r="AE89" i="16"/>
  <c r="AD89" i="16"/>
  <c r="AE87" i="16"/>
  <c r="AD87" i="16"/>
  <c r="AE86" i="16"/>
  <c r="AD86" i="16"/>
  <c r="AD47" i="16"/>
  <c r="AE47" i="16"/>
  <c r="AD48" i="16"/>
  <c r="AE48" i="16"/>
  <c r="AD49" i="16"/>
  <c r="AE49" i="16"/>
  <c r="AD50" i="16"/>
  <c r="AE50" i="16"/>
  <c r="AD51" i="16"/>
  <c r="AE51" i="16"/>
  <c r="AD52" i="16"/>
  <c r="AE52" i="16"/>
  <c r="AD53" i="16"/>
  <c r="AE53" i="16"/>
  <c r="AD38" i="16"/>
  <c r="AE38" i="16"/>
  <c r="AD39" i="16"/>
  <c r="AE39" i="16"/>
  <c r="AD40" i="16"/>
  <c r="AE40" i="16"/>
  <c r="AD41" i="16"/>
  <c r="AE41" i="16"/>
  <c r="AD42" i="16"/>
  <c r="AE42" i="16"/>
  <c r="AD43" i="16"/>
  <c r="AE43" i="16"/>
  <c r="AD44" i="16"/>
  <c r="AE44" i="16"/>
  <c r="AD45" i="16"/>
  <c r="AE45" i="16"/>
  <c r="AD46" i="16"/>
  <c r="AE46" i="16"/>
  <c r="AD28" i="16"/>
  <c r="AE28" i="16"/>
  <c r="AD29" i="16"/>
  <c r="AE29" i="16"/>
  <c r="AD30" i="16"/>
  <c r="AE30" i="16"/>
  <c r="AD31" i="16"/>
  <c r="AE31" i="16"/>
  <c r="AD32" i="16"/>
  <c r="AE32" i="16"/>
  <c r="AD33" i="16"/>
  <c r="AE33" i="16"/>
  <c r="AD34" i="16"/>
  <c r="AE34" i="16"/>
  <c r="AD35" i="16"/>
  <c r="AE35" i="16"/>
  <c r="AD36" i="16"/>
  <c r="AE36" i="16"/>
  <c r="AD37" i="16"/>
  <c r="AE37" i="16"/>
  <c r="AE27" i="16"/>
  <c r="AD27" i="16"/>
  <c r="AE26" i="16"/>
  <c r="AD26" i="16"/>
  <c r="AE25" i="16"/>
  <c r="AD25" i="16"/>
  <c r="AE16" i="16"/>
  <c r="AD16" i="16"/>
  <c r="AE13" i="16"/>
  <c r="AD13" i="16"/>
  <c r="AD10" i="16"/>
  <c r="AD9" i="16"/>
  <c r="AE9" i="16"/>
  <c r="F8" i="26" s="1"/>
  <c r="AE10" i="16"/>
  <c r="AD80" i="18"/>
  <c r="AE80" i="18"/>
  <c r="F60" i="17" s="1"/>
  <c r="AD81" i="18"/>
  <c r="AE81" i="18"/>
  <c r="F61" i="17" s="1"/>
  <c r="AD82" i="18"/>
  <c r="AE82" i="18"/>
  <c r="AE79" i="18"/>
  <c r="AD79" i="18"/>
  <c r="AE78" i="18"/>
  <c r="AD78" i="18"/>
  <c r="AE77" i="18"/>
  <c r="AD77" i="18"/>
  <c r="AE76" i="18"/>
  <c r="AD76" i="18"/>
  <c r="AE73" i="18"/>
  <c r="AD73" i="18"/>
  <c r="AE72" i="18"/>
  <c r="AD72" i="18"/>
  <c r="AE71" i="18"/>
  <c r="AD71" i="18"/>
  <c r="AE70" i="18"/>
  <c r="AD70" i="18"/>
  <c r="AE69" i="18"/>
  <c r="AD69" i="18"/>
  <c r="AE68" i="18"/>
  <c r="AD68" i="18"/>
  <c r="AD65" i="18"/>
  <c r="AE65" i="18"/>
  <c r="AE64" i="18"/>
  <c r="AD64" i="18"/>
  <c r="AE63" i="18"/>
  <c r="AD63" i="18"/>
  <c r="AE60" i="18"/>
  <c r="AD60" i="18"/>
  <c r="AE59" i="18"/>
  <c r="AD59" i="18"/>
  <c r="AD56" i="18"/>
  <c r="AE56" i="18"/>
  <c r="AD53" i="18"/>
  <c r="AE53" i="18"/>
  <c r="AD54" i="18"/>
  <c r="AE54" i="18"/>
  <c r="AD55" i="18"/>
  <c r="AE55" i="18"/>
  <c r="AD50" i="18"/>
  <c r="AE50" i="18"/>
  <c r="F37" i="17" s="1"/>
  <c r="AD51" i="18"/>
  <c r="AE51" i="18"/>
  <c r="AD52" i="18"/>
  <c r="AE52" i="18"/>
  <c r="AE49" i="18"/>
  <c r="AD49" i="18"/>
  <c r="AD44" i="18"/>
  <c r="AE44" i="18"/>
  <c r="AD40" i="18"/>
  <c r="AE40" i="18"/>
  <c r="AD41" i="18"/>
  <c r="AE41" i="18"/>
  <c r="AD42" i="18"/>
  <c r="AE42" i="18"/>
  <c r="AD43" i="18"/>
  <c r="AE43" i="18"/>
  <c r="AD34" i="18"/>
  <c r="AE34" i="18"/>
  <c r="AD35" i="18"/>
  <c r="AE35" i="18"/>
  <c r="AD36" i="18"/>
  <c r="AE36" i="18"/>
  <c r="AD37" i="18"/>
  <c r="AE37" i="18"/>
  <c r="AD38" i="18"/>
  <c r="AE38" i="18"/>
  <c r="AD39" i="18"/>
  <c r="AE39" i="18"/>
  <c r="AD31" i="18"/>
  <c r="AE31" i="18"/>
  <c r="AD32" i="18"/>
  <c r="AE32" i="18"/>
  <c r="AD33" i="18"/>
  <c r="AE33" i="18"/>
  <c r="AE30" i="18"/>
  <c r="AD30" i="18"/>
  <c r="AE29" i="18"/>
  <c r="F20" i="17" s="1"/>
  <c r="AD29" i="18"/>
  <c r="AE28" i="18"/>
  <c r="F19" i="17" s="1"/>
  <c r="AD28" i="18"/>
  <c r="AD25" i="18"/>
  <c r="AE25" i="18"/>
  <c r="F18" i="17" s="1"/>
  <c r="AE24" i="18"/>
  <c r="F17" i="17" s="1"/>
  <c r="AD24" i="18"/>
  <c r="AD11" i="18"/>
  <c r="AE11" i="18"/>
  <c r="F8" i="17" s="1"/>
  <c r="AD12" i="18"/>
  <c r="AE12" i="18"/>
  <c r="F9" i="17" s="1"/>
  <c r="AD13" i="18"/>
  <c r="AE13" i="18"/>
  <c r="F10" i="17" s="1"/>
  <c r="AD14" i="18"/>
  <c r="AE14" i="18"/>
  <c r="F11" i="17" s="1"/>
  <c r="AE10" i="18"/>
  <c r="F7" i="17" s="1"/>
  <c r="AD10" i="18"/>
  <c r="AE9" i="18"/>
  <c r="F6" i="17" s="1"/>
  <c r="AD9" i="18"/>
  <c r="AE8" i="18"/>
  <c r="F5" i="17" s="1"/>
  <c r="AD8" i="18"/>
  <c r="AD17" i="18"/>
  <c r="AE17" i="18"/>
  <c r="F12" i="17" s="1"/>
  <c r="AE21" i="18"/>
  <c r="F16" i="17" s="1"/>
  <c r="AD21" i="18"/>
  <c r="AE20" i="18"/>
  <c r="F15" i="17" s="1"/>
  <c r="AD20" i="18"/>
  <c r="AE19" i="18"/>
  <c r="F14" i="17" s="1"/>
  <c r="AD19" i="18"/>
  <c r="AE18" i="18"/>
  <c r="F13" i="17" s="1"/>
  <c r="AD18" i="18"/>
  <c r="AA17" i="18"/>
  <c r="AA22" i="18" s="1"/>
  <c r="AA9" i="18"/>
  <c r="AA10" i="18"/>
  <c r="AA8" i="18"/>
  <c r="F30" i="38" l="1"/>
  <c r="F31" i="38"/>
  <c r="F42" i="17"/>
  <c r="F56" i="17"/>
  <c r="F59" i="17"/>
  <c r="F101" i="26"/>
  <c r="F100" i="26"/>
  <c r="F16" i="38"/>
  <c r="T21" i="20"/>
  <c r="W21" i="20"/>
  <c r="AA21" i="20"/>
  <c r="K21" i="20"/>
  <c r="S21" i="20"/>
  <c r="F105" i="26"/>
  <c r="F110" i="26"/>
  <c r="F131" i="26"/>
  <c r="F103" i="26"/>
  <c r="F121" i="26"/>
  <c r="F117" i="26"/>
  <c r="F133" i="26"/>
  <c r="F132" i="26"/>
  <c r="F115" i="26"/>
  <c r="F59" i="38"/>
  <c r="F60" i="38"/>
  <c r="F104" i="26"/>
  <c r="F113" i="26"/>
  <c r="F122" i="26"/>
  <c r="F136" i="26"/>
  <c r="F125" i="26"/>
  <c r="F126" i="26"/>
  <c r="F135" i="26"/>
  <c r="F56" i="38"/>
  <c r="F57" i="38"/>
  <c r="F106" i="26"/>
  <c r="F102" i="26"/>
  <c r="W382" i="2"/>
  <c r="AA66" i="20"/>
  <c r="AA56" i="14"/>
  <c r="F44" i="17"/>
  <c r="F40" i="17"/>
  <c r="F28" i="38"/>
  <c r="F39" i="38"/>
  <c r="F77" i="26"/>
  <c r="F108" i="26"/>
  <c r="F79" i="26"/>
  <c r="F88" i="26"/>
  <c r="F124" i="26"/>
  <c r="F86" i="26"/>
  <c r="F120" i="26"/>
  <c r="F83" i="26"/>
  <c r="F116" i="26"/>
  <c r="F89" i="26"/>
  <c r="F128" i="26"/>
  <c r="F19" i="38"/>
  <c r="F25" i="38"/>
  <c r="F21" i="38"/>
  <c r="F32" i="38"/>
  <c r="F29" i="38"/>
  <c r="F40" i="38"/>
  <c r="F22" i="38"/>
  <c r="F33" i="38"/>
  <c r="F37" i="38"/>
  <c r="F53" i="38"/>
  <c r="F76" i="26"/>
  <c r="F107" i="26"/>
  <c r="F81" i="26"/>
  <c r="F112" i="26"/>
  <c r="F87" i="26"/>
  <c r="F123" i="26"/>
  <c r="F85" i="26"/>
  <c r="F119" i="26"/>
  <c r="F20" i="38"/>
  <c r="F27" i="38"/>
  <c r="F38" i="38"/>
  <c r="F45" i="17"/>
  <c r="F24" i="38"/>
  <c r="F35" i="38"/>
  <c r="F38" i="17"/>
  <c r="F78" i="26"/>
  <c r="F109" i="26"/>
  <c r="F84" i="26"/>
  <c r="F118" i="26"/>
  <c r="F92" i="26"/>
  <c r="F134" i="26"/>
  <c r="F91" i="26"/>
  <c r="F130" i="26"/>
  <c r="F93" i="26"/>
  <c r="F137" i="26"/>
  <c r="F17" i="38"/>
  <c r="F26" i="38"/>
  <c r="F82" i="26"/>
  <c r="F114" i="26"/>
  <c r="F80" i="26"/>
  <c r="F111" i="26"/>
  <c r="F90" i="26"/>
  <c r="F129" i="26"/>
  <c r="F18" i="38"/>
  <c r="F23" i="38"/>
  <c r="F34" i="38"/>
  <c r="F36" i="38"/>
  <c r="F52" i="38"/>
  <c r="F39" i="17"/>
  <c r="F46" i="17"/>
  <c r="F50" i="17"/>
  <c r="F43" i="17"/>
  <c r="F51" i="17"/>
  <c r="F47" i="17"/>
  <c r="F52" i="17"/>
  <c r="F55" i="17"/>
  <c r="F58" i="17"/>
  <c r="F48" i="17"/>
  <c r="F53" i="17"/>
  <c r="F41" i="17"/>
  <c r="F49" i="17"/>
  <c r="F54" i="17"/>
  <c r="F57" i="17"/>
  <c r="AA15" i="18"/>
  <c r="AA85" i="18" s="1"/>
  <c r="S8" i="23" s="1"/>
  <c r="AE61" i="14"/>
  <c r="AE15" i="21"/>
  <c r="F196" i="26"/>
  <c r="F195" i="26"/>
  <c r="T25" i="20"/>
  <c r="W25" i="20"/>
  <c r="AA25" i="20"/>
  <c r="AA23" i="14"/>
  <c r="F21" i="17"/>
  <c r="F24" i="17"/>
  <c r="F23" i="17"/>
  <c r="F25" i="17"/>
  <c r="F26" i="17"/>
  <c r="F22" i="17"/>
  <c r="K25" i="20"/>
  <c r="S25" i="20"/>
  <c r="AA74" i="20"/>
  <c r="F154" i="26"/>
  <c r="F155" i="26"/>
  <c r="F153" i="26"/>
  <c r="F9" i="26"/>
  <c r="F13" i="26"/>
  <c r="F7" i="26"/>
  <c r="F10" i="26"/>
  <c r="F11" i="26"/>
  <c r="F30" i="26"/>
  <c r="M25" i="20"/>
  <c r="S40" i="2"/>
  <c r="T40" i="2"/>
  <c r="P40" i="2"/>
  <c r="F21" i="26"/>
  <c r="F19" i="26"/>
  <c r="F14" i="26"/>
  <c r="F34" i="26"/>
  <c r="F25" i="26"/>
  <c r="F28" i="26"/>
  <c r="F24" i="26"/>
  <c r="F18" i="26"/>
  <c r="F35" i="26"/>
  <c r="F15" i="26"/>
  <c r="F20" i="26"/>
  <c r="F16" i="26"/>
  <c r="F26" i="26"/>
  <c r="F32" i="26"/>
  <c r="F36" i="26"/>
  <c r="F12" i="26"/>
  <c r="F29" i="26"/>
  <c r="F33" i="26"/>
  <c r="F31" i="26"/>
  <c r="F17" i="26"/>
  <c r="F23" i="26"/>
  <c r="F22" i="26"/>
  <c r="F27" i="26"/>
  <c r="F31" i="17"/>
  <c r="F33" i="17"/>
  <c r="F34" i="17"/>
  <c r="F29" i="17"/>
  <c r="F35" i="17"/>
  <c r="F30" i="17"/>
  <c r="F32" i="17"/>
  <c r="F28" i="17"/>
  <c r="F27" i="17"/>
  <c r="F36" i="17"/>
  <c r="O11" i="20"/>
  <c r="AA18" i="16"/>
  <c r="AA10" i="14"/>
  <c r="AA105" i="16"/>
  <c r="AA10" i="30"/>
  <c r="AA10" i="21"/>
  <c r="AA12" i="21" s="1"/>
  <c r="L24" i="20"/>
  <c r="AA15" i="30"/>
  <c r="N24" i="20"/>
  <c r="N12" i="20"/>
  <c r="O12" i="20"/>
  <c r="L11" i="20"/>
  <c r="M11" i="20"/>
  <c r="M21" i="20" s="1"/>
  <c r="N11" i="20"/>
  <c r="L12" i="20"/>
  <c r="O24" i="20"/>
  <c r="AA11" i="16"/>
  <c r="N21" i="20" l="1"/>
  <c r="L21" i="20"/>
  <c r="O21" i="20"/>
  <c r="AA38" i="30"/>
  <c r="N25" i="20"/>
  <c r="AA58" i="14"/>
  <c r="AA89" i="20"/>
  <c r="S11" i="23" s="1"/>
  <c r="L25" i="20"/>
  <c r="AA180" i="16"/>
  <c r="O25" i="20"/>
  <c r="T164" i="2"/>
  <c r="Q24" i="20"/>
  <c r="Q12" i="20"/>
  <c r="Q11" i="20"/>
  <c r="Z334" i="2"/>
  <c r="Z333" i="2"/>
  <c r="Z152" i="16"/>
  <c r="Z154" i="16"/>
  <c r="Z155" i="16"/>
  <c r="Z145" i="16"/>
  <c r="Z147" i="16"/>
  <c r="Z149" i="16"/>
  <c r="Z150" i="16"/>
  <c r="Z151" i="16"/>
  <c r="Z137" i="16"/>
  <c r="Z138" i="16"/>
  <c r="Z127" i="16"/>
  <c r="Z128" i="16"/>
  <c r="Z130" i="16"/>
  <c r="Z132" i="16"/>
  <c r="Z174" i="16"/>
  <c r="Z123" i="16"/>
  <c r="Z124" i="16"/>
  <c r="Z285" i="2"/>
  <c r="Z120" i="16" s="1"/>
  <c r="Z284" i="2"/>
  <c r="Z22" i="14"/>
  <c r="Q21" i="20" l="1"/>
  <c r="Z380" i="2"/>
  <c r="Z142" i="16"/>
  <c r="Z134" i="16"/>
  <c r="Z141" i="16"/>
  <c r="Z133" i="16"/>
  <c r="Z144" i="16"/>
  <c r="Z126" i="16"/>
  <c r="Z131" i="16"/>
  <c r="Z140" i="16"/>
  <c r="Z125" i="16"/>
  <c r="Z139" i="16"/>
  <c r="Z129" i="16"/>
  <c r="Z153" i="16"/>
  <c r="Z36" i="14"/>
  <c r="Z122" i="16"/>
  <c r="Z136" i="16"/>
  <c r="Z148" i="16"/>
  <c r="Z121" i="16"/>
  <c r="Z143" i="16"/>
  <c r="Z135" i="16"/>
  <c r="Z331" i="2"/>
  <c r="Z107" i="16"/>
  <c r="Z29" i="20"/>
  <c r="Q25" i="20"/>
  <c r="Z156" i="16"/>
  <c r="S164" i="2"/>
  <c r="S173" i="2"/>
  <c r="T173" i="2"/>
  <c r="AA241" i="2"/>
  <c r="P164" i="2"/>
  <c r="AA231" i="2"/>
  <c r="Z146" i="16"/>
  <c r="Z244" i="2"/>
  <c r="Z243" i="2"/>
  <c r="Z235" i="2"/>
  <c r="Z80" i="20" s="1"/>
  <c r="Z236" i="2"/>
  <c r="Z11" i="20" s="1"/>
  <c r="Z237" i="2"/>
  <c r="Z12" i="20" s="1"/>
  <c r="Z238" i="2"/>
  <c r="Z70" i="20" s="1"/>
  <c r="Z239" i="2"/>
  <c r="Z24" i="20" s="1"/>
  <c r="Z240" i="2"/>
  <c r="Z71" i="20" s="1"/>
  <c r="Z229" i="2"/>
  <c r="Z21" i="16" s="1"/>
  <c r="Z228" i="2"/>
  <c r="Z76" i="20" s="1"/>
  <c r="Z77" i="20" s="1"/>
  <c r="Z234" i="2"/>
  <c r="Z23" i="20" s="1"/>
  <c r="Z233" i="2"/>
  <c r="Z95" i="16"/>
  <c r="Z96" i="16"/>
  <c r="Z78" i="18"/>
  <c r="Z79" i="18"/>
  <c r="Z80" i="18"/>
  <c r="Z89" i="16"/>
  <c r="Z81" i="18"/>
  <c r="Z92" i="16"/>
  <c r="Z90" i="16"/>
  <c r="Z91" i="16"/>
  <c r="Z93" i="16"/>
  <c r="Z94" i="16"/>
  <c r="Z82" i="18"/>
  <c r="Z87" i="16"/>
  <c r="Z88" i="16"/>
  <c r="Z206" i="2"/>
  <c r="Z77" i="18" s="1"/>
  <c r="Z205" i="2"/>
  <c r="Z86" i="16" s="1"/>
  <c r="Z204" i="2"/>
  <c r="Z85" i="20"/>
  <c r="Z167" i="16"/>
  <c r="Z82" i="20"/>
  <c r="Z169" i="16"/>
  <c r="Z83" i="20"/>
  <c r="Z72" i="18"/>
  <c r="Z84" i="20"/>
  <c r="Z170" i="16"/>
  <c r="Z73" i="18"/>
  <c r="Z71" i="18"/>
  <c r="Z70" i="18"/>
  <c r="Z187" i="2"/>
  <c r="Z81" i="20" s="1"/>
  <c r="Z186" i="2"/>
  <c r="Z69" i="18" s="1"/>
  <c r="Z185" i="2"/>
  <c r="Z179" i="2"/>
  <c r="Z173" i="16" s="1"/>
  <c r="Z175" i="16"/>
  <c r="Z176" i="16"/>
  <c r="Z178" i="2"/>
  <c r="Z65" i="18" s="1"/>
  <c r="Z177" i="2"/>
  <c r="Z64" i="18" s="1"/>
  <c r="Z176" i="2"/>
  <c r="Z22" i="16" s="1"/>
  <c r="Z175" i="2"/>
  <c r="Z60" i="18"/>
  <c r="Z102" i="16"/>
  <c r="Z103" i="16"/>
  <c r="Z104" i="16"/>
  <c r="Z59" i="18"/>
  <c r="Z118" i="16"/>
  <c r="Z119" i="16"/>
  <c r="Z111" i="16"/>
  <c r="Z112" i="16"/>
  <c r="Z53" i="18"/>
  <c r="Z54" i="18"/>
  <c r="Z55" i="18"/>
  <c r="Z114" i="16"/>
  <c r="Z115" i="16"/>
  <c r="Z50" i="18"/>
  <c r="Z108" i="16"/>
  <c r="Z51" i="18"/>
  <c r="Z109" i="16"/>
  <c r="Z27" i="20"/>
  <c r="Z52" i="18"/>
  <c r="Z110" i="16"/>
  <c r="Z49" i="18"/>
  <c r="Z52" i="16"/>
  <c r="Z53" i="16"/>
  <c r="Z44" i="16"/>
  <c r="Z45" i="16"/>
  <c r="Z46" i="16"/>
  <c r="Z47" i="16"/>
  <c r="Z48" i="16"/>
  <c r="Z49" i="16"/>
  <c r="Z50" i="16"/>
  <c r="Z51" i="16"/>
  <c r="Z36" i="16"/>
  <c r="Z37" i="16"/>
  <c r="Z38" i="16"/>
  <c r="Z39" i="16"/>
  <c r="Z40" i="16"/>
  <c r="Z41" i="16"/>
  <c r="Z42" i="16"/>
  <c r="Z43" i="16"/>
  <c r="Z32" i="16"/>
  <c r="Z33" i="16"/>
  <c r="Z34" i="16"/>
  <c r="Z35" i="16"/>
  <c r="Z30" i="16"/>
  <c r="Z31" i="16"/>
  <c r="Z28" i="16"/>
  <c r="Z29" i="16"/>
  <c r="Z25" i="16"/>
  <c r="Z26" i="16"/>
  <c r="Z27" i="16"/>
  <c r="Z40" i="18"/>
  <c r="Z41" i="18"/>
  <c r="Z42" i="18"/>
  <c r="Z43" i="18"/>
  <c r="Z44" i="18"/>
  <c r="Z31" i="18"/>
  <c r="Z32" i="18"/>
  <c r="Z33" i="18"/>
  <c r="Z34" i="18"/>
  <c r="Z35" i="18"/>
  <c r="Z36" i="18"/>
  <c r="Z37" i="18"/>
  <c r="Z38" i="18"/>
  <c r="Z39" i="18"/>
  <c r="Z44" i="2"/>
  <c r="Z43" i="2"/>
  <c r="Z29" i="18" s="1"/>
  <c r="Z42" i="2"/>
  <c r="Z39" i="2"/>
  <c r="Z25" i="18" s="1"/>
  <c r="Z38" i="2"/>
  <c r="Z20" i="16" s="1"/>
  <c r="Z37" i="2"/>
  <c r="Z13" i="16"/>
  <c r="Z16" i="16"/>
  <c r="Z27" i="2"/>
  <c r="Z26" i="2"/>
  <c r="Z14" i="16" s="1"/>
  <c r="Z25" i="2"/>
  <c r="Z10" i="2"/>
  <c r="Z11" i="2"/>
  <c r="Z12" i="2"/>
  <c r="Z13" i="2"/>
  <c r="Z14" i="2"/>
  <c r="Z15" i="2"/>
  <c r="Z16" i="2"/>
  <c r="Z17" i="2"/>
  <c r="Z8" i="16" s="1"/>
  <c r="Z18" i="2"/>
  <c r="Z19" i="2"/>
  <c r="Z20" i="2"/>
  <c r="Z8" i="20" s="1"/>
  <c r="Z9" i="20" s="1"/>
  <c r="Z21" i="2"/>
  <c r="Z9" i="16" s="1"/>
  <c r="Z22" i="2"/>
  <c r="Z10" i="16" s="1"/>
  <c r="Z9" i="2"/>
  <c r="Z8" i="2"/>
  <c r="Z98" i="16" l="1"/>
  <c r="Z21" i="20"/>
  <c r="Z76" i="18"/>
  <c r="Z83" i="18" s="1"/>
  <c r="Z226" i="2"/>
  <c r="Z140" i="2"/>
  <c r="AA382" i="2"/>
  <c r="Z100" i="16"/>
  <c r="Z54" i="16"/>
  <c r="Z84" i="16" s="1"/>
  <c r="Z165" i="16"/>
  <c r="Z282" i="2"/>
  <c r="Z57" i="18"/>
  <c r="Z68" i="18"/>
  <c r="Z74" i="18" s="1"/>
  <c r="Z202" i="2"/>
  <c r="Z25" i="20"/>
  <c r="Z171" i="16"/>
  <c r="Z178" i="16"/>
  <c r="Z23" i="16"/>
  <c r="Z30" i="18"/>
  <c r="Z13" i="14"/>
  <c r="Z63" i="18"/>
  <c r="Z66" i="18" s="1"/>
  <c r="Z183" i="2"/>
  <c r="Z23" i="2"/>
  <c r="P173" i="2"/>
  <c r="Z24" i="18"/>
  <c r="Z26" i="18" s="1"/>
  <c r="Z28" i="18"/>
  <c r="Z61" i="18"/>
  <c r="Z35" i="2"/>
  <c r="Z47" i="18" l="1"/>
  <c r="Z40" i="2"/>
  <c r="U29" i="20"/>
  <c r="U146" i="16"/>
  <c r="U22" i="14"/>
  <c r="U13" i="14"/>
  <c r="U11" i="20"/>
  <c r="U12" i="20"/>
  <c r="U24" i="20"/>
  <c r="U80" i="20"/>
  <c r="U23" i="20"/>
  <c r="U114" i="16"/>
  <c r="U115" i="16"/>
  <c r="U118" i="16"/>
  <c r="U119" i="16"/>
  <c r="U109" i="16"/>
  <c r="U27" i="20"/>
  <c r="U110" i="16"/>
  <c r="U111" i="16"/>
  <c r="U112" i="16"/>
  <c r="U108" i="16"/>
  <c r="U21" i="20" l="1"/>
  <c r="U25" i="20"/>
  <c r="S241" i="2"/>
  <c r="S231" i="2"/>
  <c r="U23" i="2"/>
  <c r="S382" i="2" l="1"/>
  <c r="Z164" i="2"/>
  <c r="U35" i="2"/>
  <c r="P231" i="2"/>
  <c r="P241" i="2" s="1"/>
  <c r="P382" i="2" s="1"/>
  <c r="U40" i="2"/>
  <c r="U382" i="2" l="1"/>
  <c r="Z173" i="2"/>
  <c r="Z231" i="2" l="1"/>
  <c r="Z241" i="2" l="1"/>
  <c r="Z382" i="2" s="1"/>
  <c r="X311" i="2" l="1"/>
  <c r="X145" i="16" s="1"/>
  <c r="L311" i="2"/>
  <c r="Y311" i="2" s="1"/>
  <c r="Y145" i="16" s="1"/>
  <c r="M311" i="2"/>
  <c r="N311" i="2"/>
  <c r="O311" i="2"/>
  <c r="G311" i="2"/>
  <c r="G145" i="16" s="1"/>
  <c r="H311" i="2"/>
  <c r="H145" i="16" s="1"/>
  <c r="C156" i="16"/>
  <c r="C138" i="26" s="1"/>
  <c r="D156" i="16"/>
  <c r="D138" i="26" s="1"/>
  <c r="E156" i="16"/>
  <c r="E138" i="26" s="1"/>
  <c r="F156" i="16"/>
  <c r="K156" i="16"/>
  <c r="L156" i="16" s="1"/>
  <c r="S156" i="16"/>
  <c r="T156" i="16"/>
  <c r="U156" i="16"/>
  <c r="X322" i="2"/>
  <c r="L322" i="2"/>
  <c r="M322" i="2"/>
  <c r="N322" i="2"/>
  <c r="O322" i="2"/>
  <c r="G322" i="2"/>
  <c r="H322" i="2"/>
  <c r="H156" i="16" s="1"/>
  <c r="F34" i="14"/>
  <c r="K34" i="14"/>
  <c r="N34" i="14" s="1"/>
  <c r="S34" i="14"/>
  <c r="T34" i="14"/>
  <c r="U34" i="14"/>
  <c r="W34" i="14"/>
  <c r="F35" i="14"/>
  <c r="K35" i="14"/>
  <c r="N35" i="14" s="1"/>
  <c r="S35" i="14"/>
  <c r="T35" i="14"/>
  <c r="U35" i="14"/>
  <c r="W35" i="14"/>
  <c r="F36" i="14"/>
  <c r="K36" i="14"/>
  <c r="N36" i="14" s="1"/>
  <c r="S36" i="14"/>
  <c r="T36" i="14"/>
  <c r="U36" i="14"/>
  <c r="W36" i="14"/>
  <c r="F37" i="14"/>
  <c r="K37" i="14"/>
  <c r="N37" i="14" s="1"/>
  <c r="S37" i="14"/>
  <c r="T37" i="14"/>
  <c r="U37" i="14"/>
  <c r="W37" i="14"/>
  <c r="D36" i="14"/>
  <c r="D175" i="26" s="1"/>
  <c r="D37" i="14"/>
  <c r="D176" i="26" s="1"/>
  <c r="C34" i="14"/>
  <c r="C173" i="26" s="1"/>
  <c r="C35" i="14"/>
  <c r="C174" i="26" s="1"/>
  <c r="C36" i="14"/>
  <c r="C175" i="26" s="1"/>
  <c r="C37" i="14"/>
  <c r="C176" i="26" s="1"/>
  <c r="X261" i="2"/>
  <c r="Y261" i="2"/>
  <c r="Y36" i="14" s="1"/>
  <c r="L261" i="2"/>
  <c r="M261" i="2"/>
  <c r="N261" i="2"/>
  <c r="O261" i="2"/>
  <c r="G261" i="2"/>
  <c r="H261" i="2"/>
  <c r="H36" i="14" s="1"/>
  <c r="AA11" i="33"/>
  <c r="Y11" i="33"/>
  <c r="X11" i="33"/>
  <c r="V11" i="33"/>
  <c r="U11" i="33"/>
  <c r="T11" i="33"/>
  <c r="Q11" i="33"/>
  <c r="AA9" i="33"/>
  <c r="Y9" i="33"/>
  <c r="X9" i="33"/>
  <c r="V9" i="33"/>
  <c r="U9" i="33"/>
  <c r="T9" i="33"/>
  <c r="Q9" i="33"/>
  <c r="P8" i="33"/>
  <c r="P11" i="33" s="1"/>
  <c r="O8" i="33"/>
  <c r="O11" i="33" s="1"/>
  <c r="N8" i="33"/>
  <c r="N11" i="33" s="1"/>
  <c r="M8" i="33"/>
  <c r="J8" i="33"/>
  <c r="H8" i="33"/>
  <c r="G8" i="33"/>
  <c r="A1" i="33"/>
  <c r="M9" i="33" l="1"/>
  <c r="Z8" i="33"/>
  <c r="C93" i="26"/>
  <c r="E93" i="26"/>
  <c r="Y156" i="16"/>
  <c r="X156" i="16"/>
  <c r="N9" i="33"/>
  <c r="M11" i="33"/>
  <c r="I145" i="16"/>
  <c r="J145" i="16"/>
  <c r="AB311" i="2"/>
  <c r="AB145" i="16"/>
  <c r="AB261" i="2"/>
  <c r="AB322" i="2"/>
  <c r="I8" i="33"/>
  <c r="Q311" i="2"/>
  <c r="J311" i="2" s="1"/>
  <c r="I311" i="2"/>
  <c r="Q322" i="2"/>
  <c r="Q261" i="2"/>
  <c r="J261" i="2" s="1"/>
  <c r="I322" i="2"/>
  <c r="G156" i="16"/>
  <c r="I156" i="16" s="1"/>
  <c r="O156" i="16"/>
  <c r="N156" i="16"/>
  <c r="M156" i="16"/>
  <c r="I261" i="2"/>
  <c r="M36" i="14"/>
  <c r="M37" i="14"/>
  <c r="X36" i="14"/>
  <c r="AB36" i="14" s="1"/>
  <c r="G36" i="14"/>
  <c r="I36" i="14" s="1"/>
  <c r="M34" i="14"/>
  <c r="M35" i="14"/>
  <c r="L37" i="14"/>
  <c r="L36" i="14"/>
  <c r="L35" i="14"/>
  <c r="L34" i="14"/>
  <c r="O37" i="14"/>
  <c r="O36" i="14"/>
  <c r="O35" i="14"/>
  <c r="O34" i="14"/>
  <c r="O9" i="33"/>
  <c r="R8" i="33"/>
  <c r="P9" i="33"/>
  <c r="Z11" i="33" l="1"/>
  <c r="AB8" i="33"/>
  <c r="Z9" i="33"/>
  <c r="AB156" i="16"/>
  <c r="J322" i="2"/>
  <c r="R322" i="2" s="1"/>
  <c r="R311" i="2"/>
  <c r="R261" i="2"/>
  <c r="Q36" i="14"/>
  <c r="J36" i="14" s="1"/>
  <c r="Q37" i="14"/>
  <c r="Q156" i="16"/>
  <c r="J156" i="16" s="1"/>
  <c r="Q35" i="14"/>
  <c r="Q34" i="14"/>
  <c r="R11" i="33"/>
  <c r="K8" i="33"/>
  <c r="S8" i="33" s="1"/>
  <c r="R9" i="33"/>
  <c r="AB11" i="33" l="1"/>
  <c r="AB9" i="33"/>
  <c r="V322" i="2"/>
  <c r="AC322" i="2" s="1"/>
  <c r="R156" i="16"/>
  <c r="V156" i="16" s="1"/>
  <c r="AC156" i="16" s="1"/>
  <c r="G138" i="26" s="1"/>
  <c r="V261" i="2"/>
  <c r="AC261" i="2" s="1"/>
  <c r="R36" i="14"/>
  <c r="V36" i="14" s="1"/>
  <c r="AC36" i="14" s="1"/>
  <c r="V311" i="2"/>
  <c r="AC311" i="2" s="1"/>
  <c r="R145" i="16"/>
  <c r="V145" i="16" s="1"/>
  <c r="AC145" i="16" s="1"/>
  <c r="S11" i="33"/>
  <c r="S9" i="33"/>
  <c r="W8" i="33"/>
  <c r="G175" i="26" l="1"/>
  <c r="AC8" i="33"/>
  <c r="W9" i="33"/>
  <c r="W11" i="33"/>
  <c r="AC9" i="33" l="1"/>
  <c r="AC11" i="33"/>
  <c r="AF13" i="33" s="1"/>
  <c r="G62" i="17" l="1"/>
  <c r="AF15" i="33"/>
  <c r="P8" i="32"/>
  <c r="P11" i="32" s="1"/>
  <c r="O8" i="32"/>
  <c r="O11" i="32" s="1"/>
  <c r="N8" i="32"/>
  <c r="N11" i="32" s="1"/>
  <c r="M8" i="32"/>
  <c r="M11" i="32" s="1"/>
  <c r="AB11" i="32"/>
  <c r="AA11" i="32"/>
  <c r="Z11" i="32"/>
  <c r="Y11" i="32"/>
  <c r="V11" i="32"/>
  <c r="U11" i="32"/>
  <c r="T11" i="32"/>
  <c r="Q11" i="32"/>
  <c r="AA9" i="32"/>
  <c r="Z9" i="32"/>
  <c r="Y9" i="32"/>
  <c r="X9" i="32"/>
  <c r="V9" i="32"/>
  <c r="U9" i="32"/>
  <c r="T9" i="32"/>
  <c r="Q9" i="32"/>
  <c r="AB9" i="32"/>
  <c r="R8" i="32"/>
  <c r="R9" i="32" s="1"/>
  <c r="J8" i="32"/>
  <c r="H8" i="32"/>
  <c r="G8" i="32"/>
  <c r="C96" i="16"/>
  <c r="D96" i="16"/>
  <c r="E96" i="16"/>
  <c r="F96" i="16"/>
  <c r="K96" i="16"/>
  <c r="L96" i="16" s="1"/>
  <c r="S96" i="16"/>
  <c r="T96" i="16"/>
  <c r="U96" i="16"/>
  <c r="X223" i="2"/>
  <c r="X96" i="16" s="1"/>
  <c r="Y223" i="2"/>
  <c r="Y96" i="16" s="1"/>
  <c r="L223" i="2"/>
  <c r="M223" i="2"/>
  <c r="N223" i="2"/>
  <c r="O223" i="2"/>
  <c r="G223" i="2"/>
  <c r="H223" i="2"/>
  <c r="H96" i="16" s="1"/>
  <c r="C53" i="20"/>
  <c r="C43" i="38" s="1"/>
  <c r="D53" i="20"/>
  <c r="D43" i="38" s="1"/>
  <c r="E53" i="20"/>
  <c r="E43" i="38" s="1"/>
  <c r="F53" i="20"/>
  <c r="K53" i="20"/>
  <c r="L53" i="20" s="1"/>
  <c r="S53" i="20"/>
  <c r="T53" i="20"/>
  <c r="U53" i="20"/>
  <c r="W53" i="20"/>
  <c r="Z53" i="20"/>
  <c r="X359" i="2"/>
  <c r="Y359" i="2"/>
  <c r="Y53" i="20" s="1"/>
  <c r="L359" i="2"/>
  <c r="M359" i="2"/>
  <c r="N359" i="2"/>
  <c r="O359" i="2"/>
  <c r="G359" i="2"/>
  <c r="H359" i="2"/>
  <c r="H53" i="20" s="1"/>
  <c r="C16" i="14"/>
  <c r="D16" i="14"/>
  <c r="E16" i="14"/>
  <c r="F16" i="14"/>
  <c r="K16" i="14"/>
  <c r="L16" i="14" s="1"/>
  <c r="S16" i="14"/>
  <c r="T16" i="14"/>
  <c r="U16" i="14"/>
  <c r="W16" i="14"/>
  <c r="X262" i="2"/>
  <c r="Y262" i="2"/>
  <c r="X263" i="2"/>
  <c r="Y263" i="2"/>
  <c r="Z16" i="14"/>
  <c r="L262" i="2"/>
  <c r="M262" i="2"/>
  <c r="N262" i="2"/>
  <c r="O262" i="2"/>
  <c r="L263" i="2"/>
  <c r="M263" i="2"/>
  <c r="N263" i="2"/>
  <c r="O263" i="2"/>
  <c r="G262" i="2"/>
  <c r="H262" i="2"/>
  <c r="G263" i="2"/>
  <c r="H263" i="2"/>
  <c r="X199" i="2"/>
  <c r="X167" i="16" s="1"/>
  <c r="Y199" i="2"/>
  <c r="Y167" i="16" s="1"/>
  <c r="L199" i="2"/>
  <c r="M199" i="2"/>
  <c r="N199" i="2"/>
  <c r="O199" i="2"/>
  <c r="G199" i="2"/>
  <c r="G167" i="16" s="1"/>
  <c r="H199" i="2"/>
  <c r="H167" i="16" s="1"/>
  <c r="C16" i="16"/>
  <c r="D16" i="16"/>
  <c r="E16" i="16"/>
  <c r="F16" i="16"/>
  <c r="K16" i="16"/>
  <c r="L16" i="16" s="1"/>
  <c r="S16" i="16"/>
  <c r="T16" i="16"/>
  <c r="U16" i="16"/>
  <c r="X33" i="2"/>
  <c r="X16" i="16" s="1"/>
  <c r="Y33" i="2"/>
  <c r="Y16" i="16" s="1"/>
  <c r="L33" i="2"/>
  <c r="M33" i="2"/>
  <c r="N33" i="2"/>
  <c r="O33" i="2"/>
  <c r="G33" i="2"/>
  <c r="G31" i="2"/>
  <c r="G32" i="2"/>
  <c r="I167" i="16" l="1"/>
  <c r="J167" i="16"/>
  <c r="AB167" i="16"/>
  <c r="Y16" i="14"/>
  <c r="H37" i="14"/>
  <c r="G37" i="14"/>
  <c r="J37" i="14" s="1"/>
  <c r="H16" i="14"/>
  <c r="Y37" i="14"/>
  <c r="AB16" i="16"/>
  <c r="M9" i="32"/>
  <c r="N9" i="32"/>
  <c r="O9" i="32"/>
  <c r="P9" i="32"/>
  <c r="AB199" i="2"/>
  <c r="AB33" i="2"/>
  <c r="X16" i="14"/>
  <c r="AB263" i="2"/>
  <c r="X37" i="14"/>
  <c r="AB262" i="2"/>
  <c r="AB359" i="2"/>
  <c r="AB96" i="16"/>
  <c r="AB223" i="2"/>
  <c r="I8" i="32"/>
  <c r="Q33" i="2"/>
  <c r="J33" i="2" s="1"/>
  <c r="Q223" i="2"/>
  <c r="J223" i="2" s="1"/>
  <c r="I223" i="2"/>
  <c r="I359" i="2"/>
  <c r="Q359" i="2"/>
  <c r="J359" i="2" s="1"/>
  <c r="G96" i="16"/>
  <c r="I96" i="16" s="1"/>
  <c r="Q262" i="2"/>
  <c r="J262" i="2" s="1"/>
  <c r="Q263" i="2"/>
  <c r="J263" i="2" s="1"/>
  <c r="K8" i="32"/>
  <c r="R11" i="32"/>
  <c r="O96" i="16"/>
  <c r="N96" i="16"/>
  <c r="M96" i="16"/>
  <c r="G53" i="20"/>
  <c r="I53" i="20" s="1"/>
  <c r="I263" i="2"/>
  <c r="X53" i="20"/>
  <c r="AB53" i="20" s="1"/>
  <c r="I199" i="2"/>
  <c r="O53" i="20"/>
  <c r="N53" i="20"/>
  <c r="M53" i="20"/>
  <c r="I262" i="2"/>
  <c r="G16" i="14"/>
  <c r="Q199" i="2"/>
  <c r="J199" i="2" s="1"/>
  <c r="O16" i="14"/>
  <c r="N16" i="14"/>
  <c r="M16" i="14"/>
  <c r="I33" i="2"/>
  <c r="H16" i="16"/>
  <c r="G16" i="16"/>
  <c r="O16" i="16"/>
  <c r="N16" i="16"/>
  <c r="M16" i="16"/>
  <c r="S8" i="32" l="1"/>
  <c r="S11" i="32" s="1"/>
  <c r="AB16" i="14"/>
  <c r="I16" i="14"/>
  <c r="I37" i="14"/>
  <c r="AB37" i="14"/>
  <c r="Q16" i="16"/>
  <c r="J16" i="16" s="1"/>
  <c r="R359" i="2"/>
  <c r="R223" i="2"/>
  <c r="R263" i="2"/>
  <c r="R199" i="2"/>
  <c r="Q96" i="16"/>
  <c r="J96" i="16" s="1"/>
  <c r="Q53" i="20"/>
  <c r="J53" i="20" s="1"/>
  <c r="R262" i="2"/>
  <c r="Q16" i="14"/>
  <c r="J16" i="14" s="1"/>
  <c r="I16" i="16"/>
  <c r="R33" i="2"/>
  <c r="S9" i="32" l="1"/>
  <c r="W8" i="32"/>
  <c r="W9" i="32" s="1"/>
  <c r="V359" i="2"/>
  <c r="AC359" i="2" s="1"/>
  <c r="R53" i="20"/>
  <c r="V53" i="20" s="1"/>
  <c r="AC53" i="20" s="1"/>
  <c r="G43" i="38" s="1"/>
  <c r="V199" i="2"/>
  <c r="AC199" i="2" s="1"/>
  <c r="R167" i="16"/>
  <c r="V167" i="16" s="1"/>
  <c r="AC167" i="16" s="1"/>
  <c r="G143" i="26" s="1"/>
  <c r="V263" i="2"/>
  <c r="AC263" i="2" s="1"/>
  <c r="R37" i="14"/>
  <c r="V37" i="14" s="1"/>
  <c r="AC37" i="14" s="1"/>
  <c r="G176" i="26" s="1"/>
  <c r="V262" i="2"/>
  <c r="AC262" i="2" s="1"/>
  <c r="R16" i="14"/>
  <c r="V16" i="14" s="1"/>
  <c r="AC16" i="14" s="1"/>
  <c r="V33" i="2"/>
  <c r="AC33" i="2" s="1"/>
  <c r="R16" i="16"/>
  <c r="V16" i="16" s="1"/>
  <c r="AC16" i="16" s="1"/>
  <c r="V223" i="2"/>
  <c r="AC223" i="2" s="1"/>
  <c r="R96" i="16"/>
  <c r="V96" i="16" s="1"/>
  <c r="AC96" i="16" s="1"/>
  <c r="W11" i="32"/>
  <c r="AC8" i="32"/>
  <c r="AC9" i="32" s="1"/>
  <c r="AC11" i="32" l="1"/>
  <c r="AF13" i="32" s="1"/>
  <c r="G152" i="26" s="1"/>
  <c r="Y356" i="2"/>
  <c r="Y357" i="2"/>
  <c r="Y358" i="2"/>
  <c r="Y347" i="2"/>
  <c r="Y348" i="2"/>
  <c r="Y349" i="2"/>
  <c r="Y350" i="2"/>
  <c r="Y351" i="2"/>
  <c r="Y352" i="2"/>
  <c r="Y353" i="2"/>
  <c r="Y354" i="2"/>
  <c r="Y355" i="2"/>
  <c r="Y338" i="2"/>
  <c r="Y340" i="2"/>
  <c r="Y341" i="2"/>
  <c r="Y342" i="2"/>
  <c r="Y343" i="2"/>
  <c r="Y344" i="2"/>
  <c r="Y345" i="2"/>
  <c r="Y346" i="2"/>
  <c r="Y337" i="2"/>
  <c r="Y151" i="16"/>
  <c r="Y152" i="16"/>
  <c r="Y153" i="16"/>
  <c r="Y154" i="16"/>
  <c r="Y155" i="16"/>
  <c r="Y148" i="16"/>
  <c r="Y149" i="16"/>
  <c r="Y150" i="16"/>
  <c r="Y256" i="2"/>
  <c r="Y257" i="2"/>
  <c r="Y22" i="14" s="1"/>
  <c r="Y259" i="2"/>
  <c r="Y34" i="14" s="1"/>
  <c r="Y260" i="2"/>
  <c r="Y35" i="14" s="1"/>
  <c r="Y229" i="2"/>
  <c r="Y21" i="16" s="1"/>
  <c r="Y222" i="2"/>
  <c r="Y95" i="16" s="1"/>
  <c r="Y196" i="2"/>
  <c r="Y73" i="18" s="1"/>
  <c r="Y197" i="2"/>
  <c r="Y198" i="2"/>
  <c r="Y85" i="20" s="1"/>
  <c r="Y180" i="2"/>
  <c r="Y175" i="16" s="1"/>
  <c r="Y181" i="2"/>
  <c r="Y176" i="16" s="1"/>
  <c r="Y170" i="2"/>
  <c r="Y102" i="16" s="1"/>
  <c r="Y171" i="2"/>
  <c r="Y103" i="16" s="1"/>
  <c r="Y172" i="2"/>
  <c r="Y104" i="16" s="1"/>
  <c r="Y116" i="2"/>
  <c r="Y50" i="16" s="1"/>
  <c r="Y117" i="2"/>
  <c r="Y51" i="16" s="1"/>
  <c r="Y118" i="2"/>
  <c r="Y34" i="30" s="1"/>
  <c r="Y119" i="2"/>
  <c r="Y52" i="16" s="1"/>
  <c r="Y120" i="2"/>
  <c r="Y53" i="16" s="1"/>
  <c r="Y121" i="2"/>
  <c r="Y69" i="16" s="1"/>
  <c r="Y122" i="2"/>
  <c r="Y70" i="16" s="1"/>
  <c r="Y123" i="2"/>
  <c r="Y71" i="16" s="1"/>
  <c r="Y124" i="2"/>
  <c r="Y33" i="30" s="1"/>
  <c r="Y125" i="2"/>
  <c r="Y72" i="16" s="1"/>
  <c r="Y126" i="2"/>
  <c r="Y73" i="16" s="1"/>
  <c r="Y127" i="2"/>
  <c r="Y74" i="16" s="1"/>
  <c r="Y114" i="2"/>
  <c r="Y68" i="16" s="1"/>
  <c r="Y115" i="2"/>
  <c r="Y32" i="2"/>
  <c r="Y13" i="16" s="1"/>
  <c r="Y9" i="16"/>
  <c r="Y10" i="16"/>
  <c r="Y25" i="30" l="1"/>
  <c r="P15" i="30"/>
  <c r="W14" i="30"/>
  <c r="U14" i="30"/>
  <c r="T14" i="30"/>
  <c r="S14" i="30"/>
  <c r="K14" i="30"/>
  <c r="O14" i="30" s="1"/>
  <c r="H14" i="30"/>
  <c r="F14" i="30"/>
  <c r="E14" i="30"/>
  <c r="E198" i="26" s="1"/>
  <c r="C14" i="30"/>
  <c r="C198" i="26" s="1"/>
  <c r="W13" i="30"/>
  <c r="U13" i="30"/>
  <c r="T13" i="30"/>
  <c r="S13" i="30"/>
  <c r="K13" i="30"/>
  <c r="N13" i="30" s="1"/>
  <c r="H13" i="30"/>
  <c r="F13" i="30"/>
  <c r="E13" i="30"/>
  <c r="E197" i="26" s="1"/>
  <c r="C13" i="30"/>
  <c r="C197" i="26" s="1"/>
  <c r="W12" i="30"/>
  <c r="U12" i="30"/>
  <c r="T12" i="30"/>
  <c r="S12" i="30"/>
  <c r="K12" i="30"/>
  <c r="H12" i="30"/>
  <c r="F12" i="30"/>
  <c r="E12" i="30"/>
  <c r="C12" i="30"/>
  <c r="P10" i="30"/>
  <c r="P38" i="30" s="1"/>
  <c r="C9" i="30"/>
  <c r="E9" i="30"/>
  <c r="F9" i="30"/>
  <c r="H9" i="30"/>
  <c r="K9" i="30"/>
  <c r="L9" i="30" s="1"/>
  <c r="S9" i="30"/>
  <c r="T9" i="30"/>
  <c r="U9" i="30"/>
  <c r="W9" i="30"/>
  <c r="N12" i="30" l="1"/>
  <c r="K15" i="30"/>
  <c r="AF15" i="32"/>
  <c r="O12" i="30"/>
  <c r="M12" i="30"/>
  <c r="M13" i="30"/>
  <c r="T15" i="30"/>
  <c r="O13" i="30"/>
  <c r="U15" i="30"/>
  <c r="S15" i="30"/>
  <c r="L14" i="30"/>
  <c r="W15" i="30"/>
  <c r="L12" i="30"/>
  <c r="M14" i="30"/>
  <c r="N14" i="30"/>
  <c r="L13" i="30"/>
  <c r="O9" i="30"/>
  <c r="N9" i="30"/>
  <c r="M9" i="30"/>
  <c r="K64" i="18"/>
  <c r="L64" i="18" s="1"/>
  <c r="K65" i="18"/>
  <c r="O65" i="18" s="1"/>
  <c r="C12" i="23"/>
  <c r="E196" i="26"/>
  <c r="C196" i="26"/>
  <c r="E195" i="26"/>
  <c r="C195" i="26"/>
  <c r="W8" i="30"/>
  <c r="U8" i="30"/>
  <c r="U10" i="30" s="1"/>
  <c r="T8" i="30"/>
  <c r="S8" i="30"/>
  <c r="S10" i="30" s="1"/>
  <c r="K8" i="30"/>
  <c r="H8" i="30"/>
  <c r="F8" i="30"/>
  <c r="E8" i="30"/>
  <c r="E194" i="26" s="1"/>
  <c r="C8" i="30"/>
  <c r="C194" i="26" s="1"/>
  <c r="C72" i="20"/>
  <c r="E72" i="20"/>
  <c r="F72" i="20"/>
  <c r="K72" i="20"/>
  <c r="L72" i="20" s="1"/>
  <c r="S72" i="20"/>
  <c r="T72" i="20"/>
  <c r="U72" i="20"/>
  <c r="W72" i="20"/>
  <c r="N15" i="30" l="1"/>
  <c r="U38" i="30"/>
  <c r="M12" i="23" s="1"/>
  <c r="S38" i="30"/>
  <c r="K12" i="23" s="1"/>
  <c r="N8" i="30"/>
  <c r="N10" i="30" s="1"/>
  <c r="N38" i="30" s="1"/>
  <c r="K10" i="30"/>
  <c r="K38" i="30" s="1"/>
  <c r="W10" i="30"/>
  <c r="W38" i="30" s="1"/>
  <c r="O15" i="30"/>
  <c r="Q12" i="30"/>
  <c r="M15" i="30"/>
  <c r="Q13" i="30"/>
  <c r="Q14" i="30"/>
  <c r="T10" i="30"/>
  <c r="T38" i="30" s="1"/>
  <c r="Q9" i="30"/>
  <c r="L15" i="30"/>
  <c r="O8" i="30"/>
  <c r="O10" i="30" s="1"/>
  <c r="M65" i="18"/>
  <c r="L65" i="18"/>
  <c r="O64" i="18"/>
  <c r="N65" i="18"/>
  <c r="N64" i="18"/>
  <c r="M64" i="18"/>
  <c r="L8" i="30"/>
  <c r="M8" i="30"/>
  <c r="M10" i="30" s="1"/>
  <c r="O72" i="20"/>
  <c r="N72" i="20"/>
  <c r="M72" i="20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34" i="2"/>
  <c r="D333" i="2"/>
  <c r="D29" i="20" s="1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174" i="16" s="1"/>
  <c r="D299" i="2"/>
  <c r="D300" i="2"/>
  <c r="D301" i="2"/>
  <c r="D302" i="2"/>
  <c r="D303" i="2"/>
  <c r="D304" i="2"/>
  <c r="D305" i="2"/>
  <c r="D306" i="2"/>
  <c r="D307" i="2"/>
  <c r="D308" i="2"/>
  <c r="D309" i="2"/>
  <c r="D310" i="2"/>
  <c r="D312" i="2"/>
  <c r="D146" i="16" s="1"/>
  <c r="D313" i="2"/>
  <c r="D314" i="2"/>
  <c r="D315" i="2"/>
  <c r="D316" i="2"/>
  <c r="D317" i="2"/>
  <c r="D318" i="2"/>
  <c r="D319" i="2"/>
  <c r="D320" i="2"/>
  <c r="D321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2" i="14" s="1"/>
  <c r="D258" i="2"/>
  <c r="D259" i="2"/>
  <c r="D34" i="14" s="1"/>
  <c r="D173" i="26" s="1"/>
  <c r="D260" i="2"/>
  <c r="D35" i="14" s="1"/>
  <c r="D174" i="26" s="1"/>
  <c r="D235" i="2"/>
  <c r="D80" i="20" s="1"/>
  <c r="D236" i="2"/>
  <c r="D11" i="20" s="1"/>
  <c r="D8" i="38" s="1"/>
  <c r="D237" i="2"/>
  <c r="D12" i="20" s="1"/>
  <c r="D9" i="38" s="1"/>
  <c r="D238" i="2"/>
  <c r="D70" i="20" s="1"/>
  <c r="D239" i="2"/>
  <c r="D24" i="20" s="1"/>
  <c r="D13" i="38" s="1"/>
  <c r="D240" i="2"/>
  <c r="D71" i="20" s="1"/>
  <c r="D229" i="2"/>
  <c r="D21" i="16" s="1"/>
  <c r="D206" i="2"/>
  <c r="D207" i="2"/>
  <c r="D88" i="16" s="1"/>
  <c r="D208" i="2"/>
  <c r="D209" i="2"/>
  <c r="D210" i="2"/>
  <c r="D13" i="30" s="1"/>
  <c r="D197" i="26" s="1"/>
  <c r="D211" i="2"/>
  <c r="D212" i="2"/>
  <c r="D14" i="30" s="1"/>
  <c r="D198" i="26" s="1"/>
  <c r="D213" i="2"/>
  <c r="D214" i="2"/>
  <c r="D215" i="2"/>
  <c r="D216" i="2"/>
  <c r="D217" i="2"/>
  <c r="D218" i="2"/>
  <c r="D91" i="16" s="1"/>
  <c r="D219" i="2"/>
  <c r="D220" i="2"/>
  <c r="D221" i="2"/>
  <c r="D222" i="2"/>
  <c r="D187" i="2"/>
  <c r="D81" i="20" s="1"/>
  <c r="D188" i="2"/>
  <c r="D189" i="2"/>
  <c r="D190" i="2"/>
  <c r="D82" i="20" s="1"/>
  <c r="D66" i="38" s="1"/>
  <c r="D191" i="2"/>
  <c r="D169" i="16" s="1"/>
  <c r="D192" i="2"/>
  <c r="D83" i="20" s="1"/>
  <c r="D67" i="38" s="1"/>
  <c r="D193" i="2"/>
  <c r="D194" i="2"/>
  <c r="D195" i="2"/>
  <c r="D170" i="16" s="1"/>
  <c r="D196" i="2"/>
  <c r="D197" i="2"/>
  <c r="D198" i="2"/>
  <c r="D85" i="20" s="1"/>
  <c r="D178" i="2"/>
  <c r="D179" i="2"/>
  <c r="D173" i="16" s="1"/>
  <c r="D180" i="2"/>
  <c r="D175" i="16" s="1"/>
  <c r="D181" i="2"/>
  <c r="D176" i="16" s="1"/>
  <c r="D172" i="2"/>
  <c r="D167" i="2"/>
  <c r="D168" i="2"/>
  <c r="D169" i="2"/>
  <c r="D170" i="2"/>
  <c r="D171" i="2"/>
  <c r="D166" i="2"/>
  <c r="D101" i="16" s="1"/>
  <c r="D163" i="2"/>
  <c r="D119" i="16" s="1"/>
  <c r="D162" i="2"/>
  <c r="D118" i="16" s="1"/>
  <c r="D153" i="2"/>
  <c r="D154" i="2"/>
  <c r="D113" i="16" s="1"/>
  <c r="D155" i="2"/>
  <c r="D156" i="2"/>
  <c r="D157" i="2"/>
  <c r="D114" i="16" s="1"/>
  <c r="D158" i="2"/>
  <c r="D116" i="16" s="1"/>
  <c r="D159" i="2"/>
  <c r="D115" i="16" s="1"/>
  <c r="D160" i="2"/>
  <c r="D117" i="16" s="1"/>
  <c r="D148" i="2"/>
  <c r="D27" i="20" s="1"/>
  <c r="D149" i="2"/>
  <c r="D150" i="2"/>
  <c r="D110" i="16" s="1"/>
  <c r="D151" i="2"/>
  <c r="D111" i="16" s="1"/>
  <c r="D152" i="2"/>
  <c r="D112" i="16" s="1"/>
  <c r="D143" i="2"/>
  <c r="D144" i="2"/>
  <c r="D108" i="16" s="1"/>
  <c r="D145" i="2"/>
  <c r="D146" i="2"/>
  <c r="D28" i="20" s="1"/>
  <c r="D147" i="2"/>
  <c r="D109" i="16" s="1"/>
  <c r="D142" i="2"/>
  <c r="D118" i="2"/>
  <c r="D119" i="2"/>
  <c r="D120" i="2"/>
  <c r="D121" i="2"/>
  <c r="D122" i="2"/>
  <c r="D123" i="2"/>
  <c r="D124" i="2"/>
  <c r="D33" i="30" s="1"/>
  <c r="D215" i="26" s="1"/>
  <c r="D125" i="2"/>
  <c r="D126" i="2"/>
  <c r="D127" i="2"/>
  <c r="D108" i="2"/>
  <c r="D12" i="30" s="1"/>
  <c r="D109" i="2"/>
  <c r="D110" i="2"/>
  <c r="D111" i="2"/>
  <c r="D112" i="2"/>
  <c r="D113" i="2"/>
  <c r="D114" i="2"/>
  <c r="D115" i="2"/>
  <c r="D25" i="30" s="1"/>
  <c r="D207" i="26" s="1"/>
  <c r="D116" i="2"/>
  <c r="D117" i="2"/>
  <c r="D99" i="2"/>
  <c r="D100" i="2"/>
  <c r="D101" i="2"/>
  <c r="D102" i="2"/>
  <c r="D103" i="2"/>
  <c r="D104" i="2"/>
  <c r="D105" i="2"/>
  <c r="D106" i="2"/>
  <c r="D107" i="2"/>
  <c r="D89" i="2"/>
  <c r="D90" i="2"/>
  <c r="D91" i="2"/>
  <c r="D92" i="2"/>
  <c r="D24" i="30" s="1"/>
  <c r="D206" i="26" s="1"/>
  <c r="D93" i="2"/>
  <c r="D94" i="2"/>
  <c r="D95" i="2"/>
  <c r="D32" i="30" s="1"/>
  <c r="D214" i="26" s="1"/>
  <c r="D96" i="2"/>
  <c r="D97" i="2"/>
  <c r="D98" i="2"/>
  <c r="D73" i="2"/>
  <c r="D74" i="2"/>
  <c r="D75" i="2"/>
  <c r="D76" i="2"/>
  <c r="D77" i="2"/>
  <c r="D78" i="2"/>
  <c r="D23" i="30" s="1"/>
  <c r="D205" i="26" s="1"/>
  <c r="D79" i="2"/>
  <c r="D27" i="30" s="1"/>
  <c r="D209" i="26" s="1"/>
  <c r="D80" i="2"/>
  <c r="D81" i="2"/>
  <c r="D28" i="30" s="1"/>
  <c r="D210" i="26" s="1"/>
  <c r="D82" i="2"/>
  <c r="D83" i="2"/>
  <c r="D84" i="2"/>
  <c r="D29" i="30" s="1"/>
  <c r="D211" i="26" s="1"/>
  <c r="D85" i="2"/>
  <c r="D86" i="2"/>
  <c r="D87" i="2"/>
  <c r="D30" i="30" s="1"/>
  <c r="D212" i="26" s="1"/>
  <c r="D88" i="2"/>
  <c r="D31" i="30" s="1"/>
  <c r="D213" i="26" s="1"/>
  <c r="D63" i="2"/>
  <c r="D20" i="30" s="1"/>
  <c r="D64" i="2"/>
  <c r="D21" i="30" s="1"/>
  <c r="D65" i="2"/>
  <c r="D22" i="30" s="1"/>
  <c r="D66" i="2"/>
  <c r="D67" i="2"/>
  <c r="D68" i="2"/>
  <c r="D69" i="2"/>
  <c r="D70" i="2"/>
  <c r="D71" i="2"/>
  <c r="D72" i="2"/>
  <c r="D55" i="2"/>
  <c r="D56" i="2"/>
  <c r="D57" i="2"/>
  <c r="D58" i="2"/>
  <c r="D59" i="2"/>
  <c r="D60" i="2"/>
  <c r="D61" i="2"/>
  <c r="D62" i="2"/>
  <c r="D44" i="2"/>
  <c r="D45" i="2"/>
  <c r="D46" i="2"/>
  <c r="D47" i="2"/>
  <c r="D48" i="2"/>
  <c r="D49" i="2"/>
  <c r="D50" i="2"/>
  <c r="D18" i="30" s="1"/>
  <c r="D51" i="2"/>
  <c r="D26" i="30" s="1"/>
  <c r="D208" i="26" s="1"/>
  <c r="D52" i="2"/>
  <c r="D53" i="2"/>
  <c r="D54" i="2"/>
  <c r="D55" i="38" l="1"/>
  <c r="D93" i="26"/>
  <c r="D94" i="26"/>
  <c r="D61" i="38"/>
  <c r="D95" i="26"/>
  <c r="D151" i="26"/>
  <c r="O38" i="30"/>
  <c r="G12" i="23" s="1"/>
  <c r="M38" i="30"/>
  <c r="E12" i="23" s="1"/>
  <c r="D202" i="26"/>
  <c r="D150" i="26"/>
  <c r="D149" i="26"/>
  <c r="D98" i="26"/>
  <c r="D147" i="26"/>
  <c r="D99" i="26"/>
  <c r="D148" i="26"/>
  <c r="D96" i="26"/>
  <c r="D145" i="26"/>
  <c r="D97" i="26"/>
  <c r="D146" i="26"/>
  <c r="D203" i="26"/>
  <c r="D204" i="26"/>
  <c r="D14" i="38"/>
  <c r="D84" i="20"/>
  <c r="D34" i="30"/>
  <c r="D216" i="26" s="1"/>
  <c r="D17" i="30"/>
  <c r="D199" i="26" s="1"/>
  <c r="D19" i="30"/>
  <c r="D200" i="26" s="1"/>
  <c r="D74" i="16"/>
  <c r="D59" i="16"/>
  <c r="D65" i="16"/>
  <c r="D73" i="16"/>
  <c r="D64" i="16"/>
  <c r="D58" i="16"/>
  <c r="D61" i="16"/>
  <c r="D63" i="16"/>
  <c r="D72" i="16"/>
  <c r="D54" i="16"/>
  <c r="D68" i="16"/>
  <c r="D62" i="16"/>
  <c r="D67" i="16"/>
  <c r="D71" i="16"/>
  <c r="D57" i="16"/>
  <c r="D56" i="16"/>
  <c r="D70" i="16"/>
  <c r="D66" i="16"/>
  <c r="D55" i="16"/>
  <c r="D60" i="16"/>
  <c r="D69" i="16"/>
  <c r="O12" i="23"/>
  <c r="L12" i="23"/>
  <c r="Q15" i="30"/>
  <c r="L10" i="30"/>
  <c r="L38" i="30" s="1"/>
  <c r="Q72" i="20"/>
  <c r="F12" i="23"/>
  <c r="Q8" i="30"/>
  <c r="Q10" i="30" s="1"/>
  <c r="D39" i="2"/>
  <c r="D38" i="2"/>
  <c r="D20" i="16" s="1"/>
  <c r="D37" i="2"/>
  <c r="D27" i="2"/>
  <c r="D28" i="2"/>
  <c r="D29" i="2"/>
  <c r="D15" i="16" s="1"/>
  <c r="D30" i="2"/>
  <c r="D31" i="2"/>
  <c r="D32" i="2"/>
  <c r="D12" i="2"/>
  <c r="D13" i="2"/>
  <c r="D14" i="2"/>
  <c r="D15" i="2"/>
  <c r="D16" i="2"/>
  <c r="D9" i="30" s="1"/>
  <c r="D196" i="26" s="1"/>
  <c r="D17" i="2"/>
  <c r="D8" i="16" s="1"/>
  <c r="D18" i="2"/>
  <c r="D19" i="2"/>
  <c r="D20" i="2"/>
  <c r="D8" i="20" s="1"/>
  <c r="D7" i="38" s="1"/>
  <c r="D21" i="2"/>
  <c r="D22" i="2"/>
  <c r="D65" i="38" l="1"/>
  <c r="D68" i="38"/>
  <c r="Q38" i="30"/>
  <c r="D201" i="26"/>
  <c r="D64" i="38"/>
  <c r="D195" i="26"/>
  <c r="D8" i="30"/>
  <c r="D194" i="26" s="1"/>
  <c r="D6" i="35"/>
  <c r="D12" i="23"/>
  <c r="I12" i="23" s="1"/>
  <c r="D10" i="2"/>
  <c r="D11" i="2"/>
  <c r="G31" i="10" l="1"/>
  <c r="H31" i="10"/>
  <c r="K164" i="2" l="1"/>
  <c r="X181" i="2"/>
  <c r="X176" i="16" s="1"/>
  <c r="AB176" i="16" s="1"/>
  <c r="L181" i="2"/>
  <c r="M181" i="2"/>
  <c r="N181" i="2"/>
  <c r="O181" i="2"/>
  <c r="G181" i="2"/>
  <c r="G176" i="16" s="1"/>
  <c r="H181" i="2"/>
  <c r="H176" i="16" s="1"/>
  <c r="P11" i="16"/>
  <c r="C9" i="16"/>
  <c r="C8" i="26" s="1"/>
  <c r="D9" i="16"/>
  <c r="D8" i="26" s="1"/>
  <c r="E9" i="16"/>
  <c r="E8" i="26" s="1"/>
  <c r="F9" i="16"/>
  <c r="K9" i="16"/>
  <c r="L9" i="16" s="1"/>
  <c r="S9" i="16"/>
  <c r="T9" i="16"/>
  <c r="U9" i="16"/>
  <c r="C10" i="16"/>
  <c r="D10" i="16"/>
  <c r="E10" i="16"/>
  <c r="F10" i="16"/>
  <c r="K10" i="16"/>
  <c r="N10" i="16" s="1"/>
  <c r="S10" i="16"/>
  <c r="T10" i="16"/>
  <c r="U10" i="16"/>
  <c r="X21" i="2"/>
  <c r="X22" i="2"/>
  <c r="X10" i="16" s="1"/>
  <c r="AB10" i="16" s="1"/>
  <c r="L21" i="2"/>
  <c r="M21" i="2"/>
  <c r="N21" i="2"/>
  <c r="O21" i="2"/>
  <c r="L22" i="2"/>
  <c r="M22" i="2"/>
  <c r="N22" i="2"/>
  <c r="O22" i="2"/>
  <c r="G22" i="2"/>
  <c r="G10" i="16" s="1"/>
  <c r="H10" i="16"/>
  <c r="G21" i="2"/>
  <c r="H9" i="16"/>
  <c r="P105" i="16"/>
  <c r="P180" i="16" s="1"/>
  <c r="C104" i="16"/>
  <c r="D104" i="16"/>
  <c r="E104" i="16"/>
  <c r="F104" i="16"/>
  <c r="K104" i="16"/>
  <c r="L104" i="16" s="1"/>
  <c r="S104" i="16"/>
  <c r="T104" i="16"/>
  <c r="U104" i="16"/>
  <c r="X172" i="2"/>
  <c r="L172" i="2"/>
  <c r="M172" i="2"/>
  <c r="N172" i="2"/>
  <c r="O172" i="2"/>
  <c r="G172" i="2"/>
  <c r="H172" i="2"/>
  <c r="H104" i="16" s="1"/>
  <c r="S14" i="14"/>
  <c r="T14" i="14"/>
  <c r="U14" i="14"/>
  <c r="W14" i="14"/>
  <c r="S15" i="14"/>
  <c r="T15" i="14"/>
  <c r="U15" i="14"/>
  <c r="W15" i="14"/>
  <c r="K14" i="14"/>
  <c r="L14" i="14" s="1"/>
  <c r="K15" i="14"/>
  <c r="L15" i="14" s="1"/>
  <c r="F14" i="14"/>
  <c r="F15" i="14"/>
  <c r="E14" i="14"/>
  <c r="E15" i="14"/>
  <c r="D14" i="14"/>
  <c r="D15" i="14"/>
  <c r="C14" i="14"/>
  <c r="C15" i="14"/>
  <c r="P15" i="14"/>
  <c r="X258" i="2"/>
  <c r="Z15" i="14"/>
  <c r="X259" i="2"/>
  <c r="Z34" i="14"/>
  <c r="X260" i="2"/>
  <c r="Z35" i="14"/>
  <c r="L258" i="2"/>
  <c r="M258" i="2"/>
  <c r="N258" i="2"/>
  <c r="O258" i="2"/>
  <c r="L259" i="2"/>
  <c r="M259" i="2"/>
  <c r="N259" i="2"/>
  <c r="O259" i="2"/>
  <c r="L260" i="2"/>
  <c r="M260" i="2"/>
  <c r="N260" i="2"/>
  <c r="O260" i="2"/>
  <c r="G258" i="2"/>
  <c r="H258" i="2"/>
  <c r="H15" i="14" s="1"/>
  <c r="G259" i="2"/>
  <c r="G34" i="14" s="1"/>
  <c r="H259" i="2"/>
  <c r="H34" i="14" s="1"/>
  <c r="G260" i="2"/>
  <c r="G35" i="14" s="1"/>
  <c r="H260" i="2"/>
  <c r="H35" i="14" s="1"/>
  <c r="K52" i="16"/>
  <c r="O52" i="16" s="1"/>
  <c r="S52" i="16"/>
  <c r="T52" i="16"/>
  <c r="U52" i="16"/>
  <c r="K53" i="16"/>
  <c r="N53" i="16" s="1"/>
  <c r="S53" i="16"/>
  <c r="T53" i="16"/>
  <c r="U53" i="16"/>
  <c r="C52" i="16"/>
  <c r="D52" i="16"/>
  <c r="E52" i="16"/>
  <c r="F52" i="16"/>
  <c r="C53" i="16"/>
  <c r="D53" i="16"/>
  <c r="E53" i="16"/>
  <c r="F53" i="16"/>
  <c r="L119" i="2"/>
  <c r="M119" i="2"/>
  <c r="N119" i="2"/>
  <c r="O119" i="2"/>
  <c r="X119" i="2"/>
  <c r="L120" i="2"/>
  <c r="M120" i="2"/>
  <c r="N120" i="2"/>
  <c r="O120" i="2"/>
  <c r="X120" i="2"/>
  <c r="L121" i="2"/>
  <c r="M121" i="2"/>
  <c r="N121" i="2"/>
  <c r="O121" i="2"/>
  <c r="X121" i="2"/>
  <c r="X69" i="16" s="1"/>
  <c r="AB69" i="16" s="1"/>
  <c r="L122" i="2"/>
  <c r="M122" i="2"/>
  <c r="N122" i="2"/>
  <c r="O122" i="2"/>
  <c r="X122" i="2"/>
  <c r="X70" i="16" s="1"/>
  <c r="AB70" i="16" s="1"/>
  <c r="L123" i="2"/>
  <c r="M123" i="2"/>
  <c r="N123" i="2"/>
  <c r="O123" i="2"/>
  <c r="X123" i="2"/>
  <c r="X71" i="16" s="1"/>
  <c r="AB71" i="16" s="1"/>
  <c r="L124" i="2"/>
  <c r="M124" i="2"/>
  <c r="N124" i="2"/>
  <c r="O124" i="2"/>
  <c r="X124" i="2"/>
  <c r="X33" i="30" s="1"/>
  <c r="AB33" i="30" s="1"/>
  <c r="L125" i="2"/>
  <c r="M125" i="2"/>
  <c r="N125" i="2"/>
  <c r="O125" i="2"/>
  <c r="X125" i="2"/>
  <c r="X72" i="16" s="1"/>
  <c r="AB72" i="16" s="1"/>
  <c r="L126" i="2"/>
  <c r="M126" i="2"/>
  <c r="N126" i="2"/>
  <c r="O126" i="2"/>
  <c r="X126" i="2"/>
  <c r="X73" i="16" s="1"/>
  <c r="AB73" i="16" s="1"/>
  <c r="L127" i="2"/>
  <c r="M127" i="2"/>
  <c r="N127" i="2"/>
  <c r="O127" i="2"/>
  <c r="X127" i="2"/>
  <c r="X74" i="16" s="1"/>
  <c r="AB74" i="16" s="1"/>
  <c r="G119" i="2"/>
  <c r="H52" i="16"/>
  <c r="G120" i="2"/>
  <c r="G53" i="16" s="1"/>
  <c r="G121" i="2"/>
  <c r="G69" i="16" s="1"/>
  <c r="G122" i="2"/>
  <c r="G70" i="16" s="1"/>
  <c r="G123" i="2"/>
  <c r="G71" i="16" s="1"/>
  <c r="G124" i="2"/>
  <c r="G33" i="30" s="1"/>
  <c r="G125" i="2"/>
  <c r="G72" i="16" s="1"/>
  <c r="G126" i="2"/>
  <c r="G73" i="16" s="1"/>
  <c r="G127" i="2"/>
  <c r="G74" i="16" s="1"/>
  <c r="C44" i="20"/>
  <c r="D44" i="20"/>
  <c r="E44" i="20"/>
  <c r="F44" i="20"/>
  <c r="K44" i="20"/>
  <c r="L44" i="20" s="1"/>
  <c r="S44" i="20"/>
  <c r="T44" i="20"/>
  <c r="U44" i="20"/>
  <c r="W44" i="20"/>
  <c r="Z44" i="20"/>
  <c r="C45" i="20"/>
  <c r="D45" i="20"/>
  <c r="E45" i="20"/>
  <c r="F45" i="20"/>
  <c r="K45" i="20"/>
  <c r="L45" i="20" s="1"/>
  <c r="S45" i="20"/>
  <c r="T45" i="20"/>
  <c r="U45" i="20"/>
  <c r="W45" i="20"/>
  <c r="Z45" i="20"/>
  <c r="C46" i="20"/>
  <c r="D46" i="20"/>
  <c r="E46" i="20"/>
  <c r="F46" i="20"/>
  <c r="K46" i="20"/>
  <c r="O46" i="20" s="1"/>
  <c r="S46" i="20"/>
  <c r="T46" i="20"/>
  <c r="U46" i="20"/>
  <c r="W46" i="20"/>
  <c r="Z46" i="20"/>
  <c r="C47" i="20"/>
  <c r="D47" i="20"/>
  <c r="E47" i="20"/>
  <c r="F47" i="20"/>
  <c r="K47" i="20"/>
  <c r="L47" i="20" s="1"/>
  <c r="S47" i="20"/>
  <c r="T47" i="20"/>
  <c r="U47" i="20"/>
  <c r="W47" i="20"/>
  <c r="Z47" i="20"/>
  <c r="C48" i="20"/>
  <c r="D48" i="20"/>
  <c r="E48" i="20"/>
  <c r="F48" i="20"/>
  <c r="K48" i="20"/>
  <c r="O48" i="20" s="1"/>
  <c r="S48" i="20"/>
  <c r="T48" i="20"/>
  <c r="U48" i="20"/>
  <c r="W48" i="20"/>
  <c r="Z48" i="20"/>
  <c r="C49" i="20"/>
  <c r="D49" i="20"/>
  <c r="E49" i="20"/>
  <c r="F49" i="20"/>
  <c r="K49" i="20"/>
  <c r="L49" i="20" s="1"/>
  <c r="S49" i="20"/>
  <c r="T49" i="20"/>
  <c r="U49" i="20"/>
  <c r="W49" i="20"/>
  <c r="Z49" i="20"/>
  <c r="C50" i="20"/>
  <c r="C40" i="38" s="1"/>
  <c r="D50" i="20"/>
  <c r="D40" i="38" s="1"/>
  <c r="E50" i="20"/>
  <c r="E40" i="38" s="1"/>
  <c r="F50" i="20"/>
  <c r="K50" i="20"/>
  <c r="L50" i="20" s="1"/>
  <c r="S50" i="20"/>
  <c r="T50" i="20"/>
  <c r="U50" i="20"/>
  <c r="W50" i="20"/>
  <c r="Z50" i="20"/>
  <c r="C51" i="20"/>
  <c r="C41" i="38" s="1"/>
  <c r="D51" i="20"/>
  <c r="D41" i="38" s="1"/>
  <c r="E51" i="20"/>
  <c r="E41" i="38" s="1"/>
  <c r="F51" i="20"/>
  <c r="K51" i="20"/>
  <c r="N51" i="20" s="1"/>
  <c r="S51" i="20"/>
  <c r="T51" i="20"/>
  <c r="U51" i="20"/>
  <c r="W51" i="20"/>
  <c r="Z51" i="20"/>
  <c r="C52" i="20"/>
  <c r="C42" i="38" s="1"/>
  <c r="D52" i="20"/>
  <c r="D42" i="38" s="1"/>
  <c r="E52" i="20"/>
  <c r="E42" i="38" s="1"/>
  <c r="F52" i="20"/>
  <c r="K52" i="20"/>
  <c r="L52" i="20" s="1"/>
  <c r="S52" i="20"/>
  <c r="T52" i="20"/>
  <c r="U52" i="20"/>
  <c r="W52" i="20"/>
  <c r="Z52" i="20"/>
  <c r="X349" i="2"/>
  <c r="AB349" i="2" s="1"/>
  <c r="X350" i="2"/>
  <c r="AB350" i="2" s="1"/>
  <c r="Y44" i="20"/>
  <c r="X351" i="2"/>
  <c r="Y45" i="20"/>
  <c r="X352" i="2"/>
  <c r="Y46" i="20"/>
  <c r="X353" i="2"/>
  <c r="AB353" i="2" s="1"/>
  <c r="Y47" i="20"/>
  <c r="X354" i="2"/>
  <c r="AB354" i="2" s="1"/>
  <c r="Y48" i="20"/>
  <c r="X355" i="2"/>
  <c r="Y49" i="20"/>
  <c r="X356" i="2"/>
  <c r="Y50" i="20"/>
  <c r="X357" i="2"/>
  <c r="Y51" i="20"/>
  <c r="X358" i="2"/>
  <c r="Y52" i="20"/>
  <c r="L350" i="2"/>
  <c r="M350" i="2"/>
  <c r="N350" i="2"/>
  <c r="O350" i="2"/>
  <c r="L351" i="2"/>
  <c r="M351" i="2"/>
  <c r="N351" i="2"/>
  <c r="O351" i="2"/>
  <c r="L352" i="2"/>
  <c r="M352" i="2"/>
  <c r="N352" i="2"/>
  <c r="O352" i="2"/>
  <c r="L353" i="2"/>
  <c r="M353" i="2"/>
  <c r="N353" i="2"/>
  <c r="O353" i="2"/>
  <c r="L354" i="2"/>
  <c r="M354" i="2"/>
  <c r="N354" i="2"/>
  <c r="O354" i="2"/>
  <c r="L355" i="2"/>
  <c r="M355" i="2"/>
  <c r="N355" i="2"/>
  <c r="O355" i="2"/>
  <c r="L356" i="2"/>
  <c r="M356" i="2"/>
  <c r="N356" i="2"/>
  <c r="O356" i="2"/>
  <c r="L357" i="2"/>
  <c r="M357" i="2"/>
  <c r="N357" i="2"/>
  <c r="O357" i="2"/>
  <c r="L358" i="2"/>
  <c r="M358" i="2"/>
  <c r="N358" i="2"/>
  <c r="O358" i="2"/>
  <c r="G350" i="2"/>
  <c r="G44" i="20" s="1"/>
  <c r="H350" i="2"/>
  <c r="H44" i="20" s="1"/>
  <c r="G351" i="2"/>
  <c r="G45" i="20" s="1"/>
  <c r="H351" i="2"/>
  <c r="H45" i="20" s="1"/>
  <c r="G352" i="2"/>
  <c r="H352" i="2"/>
  <c r="H46" i="20" s="1"/>
  <c r="G353" i="2"/>
  <c r="G47" i="20" s="1"/>
  <c r="H353" i="2"/>
  <c r="H47" i="20" s="1"/>
  <c r="G354" i="2"/>
  <c r="G48" i="20" s="1"/>
  <c r="H354" i="2"/>
  <c r="H48" i="20" s="1"/>
  <c r="G355" i="2"/>
  <c r="G49" i="20" s="1"/>
  <c r="H355" i="2"/>
  <c r="H49" i="20" s="1"/>
  <c r="G356" i="2"/>
  <c r="H356" i="2"/>
  <c r="H50" i="20" s="1"/>
  <c r="G357" i="2"/>
  <c r="G51" i="20" s="1"/>
  <c r="H357" i="2"/>
  <c r="H51" i="20" s="1"/>
  <c r="G358" i="2"/>
  <c r="G52" i="20" s="1"/>
  <c r="H358" i="2"/>
  <c r="H52" i="20" s="1"/>
  <c r="E39" i="38" l="1"/>
  <c r="E35" i="38"/>
  <c r="D35" i="38"/>
  <c r="C39" i="38"/>
  <c r="E38" i="38"/>
  <c r="C35" i="38"/>
  <c r="E34" i="38"/>
  <c r="D38" i="38"/>
  <c r="D34" i="38"/>
  <c r="C38" i="38"/>
  <c r="C34" i="38"/>
  <c r="I33" i="30"/>
  <c r="J33" i="30"/>
  <c r="I74" i="16"/>
  <c r="J74" i="16"/>
  <c r="I73" i="16"/>
  <c r="J73" i="16"/>
  <c r="I72" i="16"/>
  <c r="J72" i="16"/>
  <c r="I71" i="16"/>
  <c r="J71" i="16"/>
  <c r="I176" i="16"/>
  <c r="J176" i="16"/>
  <c r="I70" i="16"/>
  <c r="J70" i="16"/>
  <c r="I69" i="16"/>
  <c r="J69" i="16"/>
  <c r="K173" i="2"/>
  <c r="T241" i="2"/>
  <c r="T231" i="2"/>
  <c r="AB120" i="2"/>
  <c r="X53" i="16"/>
  <c r="AB53" i="16" s="1"/>
  <c r="AB123" i="2"/>
  <c r="AB126" i="2"/>
  <c r="AB21" i="2"/>
  <c r="X9" i="16"/>
  <c r="AB9" i="16" s="1"/>
  <c r="AB181" i="2"/>
  <c r="AB121" i="2"/>
  <c r="AB172" i="2"/>
  <c r="X104" i="16"/>
  <c r="AB104" i="16" s="1"/>
  <c r="AB119" i="2"/>
  <c r="X52" i="16"/>
  <c r="AB52" i="16" s="1"/>
  <c r="AB125" i="2"/>
  <c r="X15" i="14"/>
  <c r="AB127" i="2"/>
  <c r="X35" i="14"/>
  <c r="AB35" i="14" s="1"/>
  <c r="AB260" i="2"/>
  <c r="X50" i="20"/>
  <c r="AB50" i="20" s="1"/>
  <c r="AB356" i="2"/>
  <c r="X46" i="20"/>
  <c r="AB46" i="20" s="1"/>
  <c r="AB352" i="2"/>
  <c r="AB122" i="2"/>
  <c r="X51" i="20"/>
  <c r="AB51" i="20" s="1"/>
  <c r="AB357" i="2"/>
  <c r="X34" i="14"/>
  <c r="AB34" i="14" s="1"/>
  <c r="AB259" i="2"/>
  <c r="AB22" i="2"/>
  <c r="X49" i="20"/>
  <c r="AB49" i="20" s="1"/>
  <c r="AB355" i="2"/>
  <c r="X45" i="20"/>
  <c r="AB45" i="20" s="1"/>
  <c r="AB351" i="2"/>
  <c r="AB124" i="2"/>
  <c r="X52" i="20"/>
  <c r="AB52" i="20" s="1"/>
  <c r="AB358" i="2"/>
  <c r="I34" i="14"/>
  <c r="J34" i="14"/>
  <c r="I35" i="14"/>
  <c r="J35" i="14"/>
  <c r="Y258" i="2"/>
  <c r="AB258" i="2" s="1"/>
  <c r="Q258" i="2"/>
  <c r="J258" i="2" s="1"/>
  <c r="I21" i="2"/>
  <c r="Q172" i="2"/>
  <c r="J172" i="2" s="1"/>
  <c r="Q22" i="2"/>
  <c r="J22" i="2" s="1"/>
  <c r="Q355" i="2"/>
  <c r="J355" i="2" s="1"/>
  <c r="Q21" i="2"/>
  <c r="J21" i="2" s="1"/>
  <c r="I181" i="2"/>
  <c r="Q357" i="2"/>
  <c r="J357" i="2" s="1"/>
  <c r="Q353" i="2"/>
  <c r="J353" i="2" s="1"/>
  <c r="Q351" i="2"/>
  <c r="J351" i="2" s="1"/>
  <c r="I258" i="2"/>
  <c r="Q259" i="2"/>
  <c r="J259" i="2" s="1"/>
  <c r="Q181" i="2"/>
  <c r="J181" i="2" s="1"/>
  <c r="Q260" i="2"/>
  <c r="J260" i="2" s="1"/>
  <c r="Q352" i="2"/>
  <c r="J352" i="2" s="1"/>
  <c r="Q350" i="2"/>
  <c r="J350" i="2" s="1"/>
  <c r="Q358" i="2"/>
  <c r="J358" i="2" s="1"/>
  <c r="Q356" i="2"/>
  <c r="J356" i="2" s="1"/>
  <c r="Q354" i="2"/>
  <c r="J354" i="2" s="1"/>
  <c r="G9" i="16"/>
  <c r="I9" i="16" s="1"/>
  <c r="I119" i="2"/>
  <c r="O10" i="16"/>
  <c r="I10" i="16"/>
  <c r="M10" i="16"/>
  <c r="L10" i="16"/>
  <c r="I172" i="2"/>
  <c r="I22" i="2"/>
  <c r="O9" i="16"/>
  <c r="N9" i="16"/>
  <c r="M9" i="16"/>
  <c r="I122" i="2"/>
  <c r="I260" i="2"/>
  <c r="G104" i="16"/>
  <c r="I104" i="16" s="1"/>
  <c r="I259" i="2"/>
  <c r="O104" i="16"/>
  <c r="N104" i="16"/>
  <c r="M104" i="16"/>
  <c r="G15" i="14"/>
  <c r="I15" i="14" s="1"/>
  <c r="I121" i="2"/>
  <c r="O14" i="14"/>
  <c r="M14" i="14"/>
  <c r="M15" i="14"/>
  <c r="N14" i="14"/>
  <c r="O15" i="14"/>
  <c r="N15" i="14"/>
  <c r="I126" i="2"/>
  <c r="I123" i="2"/>
  <c r="I125" i="2"/>
  <c r="Q119" i="2"/>
  <c r="J119" i="2" s="1"/>
  <c r="I356" i="2"/>
  <c r="I352" i="2"/>
  <c r="Q127" i="2"/>
  <c r="J127" i="2" s="1"/>
  <c r="Q121" i="2"/>
  <c r="J121" i="2" s="1"/>
  <c r="Q120" i="2"/>
  <c r="J120" i="2" s="1"/>
  <c r="G50" i="20"/>
  <c r="I50" i="20" s="1"/>
  <c r="G46" i="20"/>
  <c r="I46" i="20" s="1"/>
  <c r="L52" i="16"/>
  <c r="X48" i="20"/>
  <c r="AB48" i="20" s="1"/>
  <c r="X47" i="20"/>
  <c r="AB47" i="20" s="1"/>
  <c r="X44" i="20"/>
  <c r="AB44" i="20" s="1"/>
  <c r="Q123" i="2"/>
  <c r="J123" i="2" s="1"/>
  <c r="Q122" i="2"/>
  <c r="J122" i="2" s="1"/>
  <c r="O53" i="16"/>
  <c r="M53" i="16"/>
  <c r="Q125" i="2"/>
  <c r="J125" i="2" s="1"/>
  <c r="Q124" i="2"/>
  <c r="J124" i="2" s="1"/>
  <c r="L53" i="16"/>
  <c r="G52" i="16"/>
  <c r="I52" i="16" s="1"/>
  <c r="I357" i="2"/>
  <c r="I353" i="2"/>
  <c r="I127" i="2"/>
  <c r="I124" i="2"/>
  <c r="I120" i="2"/>
  <c r="Q126" i="2"/>
  <c r="J126" i="2" s="1"/>
  <c r="H53" i="16"/>
  <c r="I53" i="16" s="1"/>
  <c r="N52" i="16"/>
  <c r="M52" i="16"/>
  <c r="M45" i="20"/>
  <c r="I49" i="20"/>
  <c r="I48" i="20"/>
  <c r="I47" i="20"/>
  <c r="I52" i="20"/>
  <c r="I44" i="20"/>
  <c r="M52" i="20"/>
  <c r="M49" i="20"/>
  <c r="L48" i="20"/>
  <c r="I45" i="20"/>
  <c r="O47" i="20"/>
  <c r="M47" i="20"/>
  <c r="N50" i="20"/>
  <c r="N46" i="20"/>
  <c r="I51" i="20"/>
  <c r="O49" i="20"/>
  <c r="M46" i="20"/>
  <c r="M51" i="20"/>
  <c r="N48" i="20"/>
  <c r="L46" i="20"/>
  <c r="O45" i="20"/>
  <c r="L51" i="20"/>
  <c r="O50" i="20"/>
  <c r="M48" i="20"/>
  <c r="N45" i="20"/>
  <c r="O52" i="20"/>
  <c r="M50" i="20"/>
  <c r="N47" i="20"/>
  <c r="O44" i="20"/>
  <c r="N52" i="20"/>
  <c r="N44" i="20"/>
  <c r="N49" i="20"/>
  <c r="M44" i="20"/>
  <c r="O51" i="20"/>
  <c r="I351" i="2"/>
  <c r="I358" i="2"/>
  <c r="I354" i="2"/>
  <c r="I350" i="2"/>
  <c r="I355" i="2"/>
  <c r="T382" i="2" l="1"/>
  <c r="Y15" i="14"/>
  <c r="AB15" i="14" s="1"/>
  <c r="R126" i="2"/>
  <c r="R121" i="2"/>
  <c r="R21" i="2"/>
  <c r="R356" i="2"/>
  <c r="R119" i="2"/>
  <c r="R122" i="2"/>
  <c r="R181" i="2"/>
  <c r="R258" i="2"/>
  <c r="R172" i="2"/>
  <c r="R260" i="2"/>
  <c r="Q10" i="16"/>
  <c r="J10" i="16" s="1"/>
  <c r="R353" i="2"/>
  <c r="R22" i="2"/>
  <c r="Q9" i="16"/>
  <c r="J9" i="16" s="1"/>
  <c r="Q104" i="16"/>
  <c r="J104" i="16" s="1"/>
  <c r="R259" i="2"/>
  <c r="R352" i="2"/>
  <c r="R125" i="2"/>
  <c r="R123" i="2"/>
  <c r="Q15" i="14"/>
  <c r="R357" i="2"/>
  <c r="Q52" i="16"/>
  <c r="J52" i="16" s="1"/>
  <c r="Q53" i="16"/>
  <c r="J53" i="16" s="1"/>
  <c r="R127" i="2"/>
  <c r="R124" i="2"/>
  <c r="R33" i="30" s="1"/>
  <c r="V33" i="30" s="1"/>
  <c r="AC33" i="30" s="1"/>
  <c r="G215" i="26" s="1"/>
  <c r="R120" i="2"/>
  <c r="Q50" i="20"/>
  <c r="J50" i="20" s="1"/>
  <c r="Q44" i="20"/>
  <c r="J44" i="20" s="1"/>
  <c r="Q45" i="20"/>
  <c r="J45" i="20" s="1"/>
  <c r="Q48" i="20"/>
  <c r="J48" i="20" s="1"/>
  <c r="Q47" i="20"/>
  <c r="J47" i="20" s="1"/>
  <c r="Q49" i="20"/>
  <c r="J49" i="20" s="1"/>
  <c r="Q52" i="20"/>
  <c r="J52" i="20" s="1"/>
  <c r="Q51" i="20"/>
  <c r="J51" i="20" s="1"/>
  <c r="Q46" i="20"/>
  <c r="J46" i="20" s="1"/>
  <c r="R350" i="2"/>
  <c r="R354" i="2"/>
  <c r="R351" i="2"/>
  <c r="R358" i="2"/>
  <c r="R355" i="2"/>
  <c r="V352" i="2" l="1"/>
  <c r="AC352" i="2" s="1"/>
  <c r="R46" i="20"/>
  <c r="V46" i="20" s="1"/>
  <c r="AC46" i="20" s="1"/>
  <c r="V121" i="2"/>
  <c r="AC121" i="2" s="1"/>
  <c r="R69" i="16"/>
  <c r="V69" i="16" s="1"/>
  <c r="AC69" i="16" s="1"/>
  <c r="V127" i="2"/>
  <c r="AC127" i="2" s="1"/>
  <c r="R74" i="16"/>
  <c r="V74" i="16" s="1"/>
  <c r="AC74" i="16" s="1"/>
  <c r="V172" i="2"/>
  <c r="AC172" i="2" s="1"/>
  <c r="R104" i="16"/>
  <c r="V104" i="16" s="1"/>
  <c r="AC104" i="16" s="1"/>
  <c r="V126" i="2"/>
  <c r="AC126" i="2" s="1"/>
  <c r="R73" i="16"/>
  <c r="V73" i="16" s="1"/>
  <c r="AC73" i="16" s="1"/>
  <c r="V258" i="2"/>
  <c r="AC258" i="2" s="1"/>
  <c r="R15" i="14"/>
  <c r="V181" i="2"/>
  <c r="AC181" i="2" s="1"/>
  <c r="R176" i="16"/>
  <c r="V176" i="16" s="1"/>
  <c r="AC176" i="16" s="1"/>
  <c r="V124" i="2"/>
  <c r="AC124" i="2" s="1"/>
  <c r="V358" i="2"/>
  <c r="AC358" i="2" s="1"/>
  <c r="R52" i="20"/>
  <c r="V52" i="20" s="1"/>
  <c r="AC52" i="20" s="1"/>
  <c r="V354" i="2"/>
  <c r="AC354" i="2" s="1"/>
  <c r="R48" i="20"/>
  <c r="V48" i="20" s="1"/>
  <c r="AC48" i="20" s="1"/>
  <c r="V357" i="2"/>
  <c r="AC357" i="2" s="1"/>
  <c r="R51" i="20"/>
  <c r="V51" i="20" s="1"/>
  <c r="AC51" i="20" s="1"/>
  <c r="V22" i="2"/>
  <c r="AC22" i="2" s="1"/>
  <c r="R10" i="16"/>
  <c r="V10" i="16" s="1"/>
  <c r="AC10" i="16" s="1"/>
  <c r="V122" i="2"/>
  <c r="AC122" i="2" s="1"/>
  <c r="R70" i="16"/>
  <c r="V70" i="16" s="1"/>
  <c r="AC70" i="16" s="1"/>
  <c r="V355" i="2"/>
  <c r="AC355" i="2" s="1"/>
  <c r="R49" i="20"/>
  <c r="V49" i="20" s="1"/>
  <c r="AC49" i="20" s="1"/>
  <c r="V259" i="2"/>
  <c r="AC259" i="2" s="1"/>
  <c r="R34" i="14"/>
  <c r="V34" i="14" s="1"/>
  <c r="AC34" i="14" s="1"/>
  <c r="V353" i="2"/>
  <c r="AC353" i="2" s="1"/>
  <c r="R47" i="20"/>
  <c r="V47" i="20" s="1"/>
  <c r="AC47" i="20" s="1"/>
  <c r="V123" i="2"/>
  <c r="AC123" i="2" s="1"/>
  <c r="R71" i="16"/>
  <c r="V71" i="16" s="1"/>
  <c r="AC71" i="16" s="1"/>
  <c r="V356" i="2"/>
  <c r="AC356" i="2" s="1"/>
  <c r="R50" i="20"/>
  <c r="V50" i="20" s="1"/>
  <c r="AC50" i="20" s="1"/>
  <c r="G40" i="38" s="1"/>
  <c r="V351" i="2"/>
  <c r="AC351" i="2" s="1"/>
  <c r="R45" i="20"/>
  <c r="V45" i="20" s="1"/>
  <c r="AC45" i="20" s="1"/>
  <c r="V350" i="2"/>
  <c r="AC350" i="2" s="1"/>
  <c r="R44" i="20"/>
  <c r="V44" i="20" s="1"/>
  <c r="AC44" i="20" s="1"/>
  <c r="V119" i="2"/>
  <c r="AC119" i="2" s="1"/>
  <c r="R52" i="16"/>
  <c r="V52" i="16" s="1"/>
  <c r="AC52" i="16" s="1"/>
  <c r="V120" i="2"/>
  <c r="AC120" i="2" s="1"/>
  <c r="R53" i="16"/>
  <c r="V53" i="16" s="1"/>
  <c r="AC53" i="16" s="1"/>
  <c r="V125" i="2"/>
  <c r="AC125" i="2" s="1"/>
  <c r="R72" i="16"/>
  <c r="V72" i="16" s="1"/>
  <c r="AC72" i="16" s="1"/>
  <c r="V260" i="2"/>
  <c r="AC260" i="2" s="1"/>
  <c r="R35" i="14"/>
  <c r="V35" i="14" s="1"/>
  <c r="AC35" i="14" s="1"/>
  <c r="V21" i="2"/>
  <c r="AC21" i="2" s="1"/>
  <c r="R9" i="16"/>
  <c r="V9" i="16" s="1"/>
  <c r="AC9" i="16" s="1"/>
  <c r="J15" i="14"/>
  <c r="G174" i="26" l="1"/>
  <c r="G34" i="38"/>
  <c r="G173" i="26"/>
  <c r="G38" i="38"/>
  <c r="G35" i="38"/>
  <c r="V15" i="14"/>
  <c r="AC15" i="14" s="1"/>
  <c r="A12" i="21" l="1"/>
  <c r="J8" i="3"/>
  <c r="G118" i="2" l="1"/>
  <c r="G34" i="30" s="1"/>
  <c r="L118" i="2"/>
  <c r="M118" i="2"/>
  <c r="N118" i="2"/>
  <c r="O118" i="2"/>
  <c r="X118" i="2"/>
  <c r="X34" i="30" s="1"/>
  <c r="AB34" i="30" s="1"/>
  <c r="I34" i="30" l="1"/>
  <c r="J34" i="30"/>
  <c r="AB118" i="2"/>
  <c r="I118" i="2"/>
  <c r="Q118" i="2"/>
  <c r="J118" i="2" s="1"/>
  <c r="R118" i="2" l="1"/>
  <c r="R34" i="30" s="1"/>
  <c r="V34" i="30" s="1"/>
  <c r="AC34" i="30" s="1"/>
  <c r="G216" i="26" s="1"/>
  <c r="C155" i="16"/>
  <c r="D155" i="16"/>
  <c r="E155" i="16"/>
  <c r="F155" i="16"/>
  <c r="L321" i="2"/>
  <c r="M321" i="2"/>
  <c r="N321" i="2"/>
  <c r="O321" i="2"/>
  <c r="U155" i="16"/>
  <c r="X321" i="2"/>
  <c r="H321" i="2"/>
  <c r="H155" i="16" s="1"/>
  <c r="L20" i="2"/>
  <c r="M20" i="2"/>
  <c r="N20" i="2"/>
  <c r="O20" i="2"/>
  <c r="X20" i="2"/>
  <c r="L180" i="2"/>
  <c r="M180" i="2"/>
  <c r="N180" i="2"/>
  <c r="O180" i="2"/>
  <c r="X180" i="2"/>
  <c r="X175" i="16" s="1"/>
  <c r="AB175" i="16" s="1"/>
  <c r="H180" i="2"/>
  <c r="H175" i="16" s="1"/>
  <c r="C95" i="16"/>
  <c r="D95" i="16"/>
  <c r="E95" i="16"/>
  <c r="F95" i="16"/>
  <c r="U95" i="16"/>
  <c r="L222" i="2"/>
  <c r="M222" i="2"/>
  <c r="N222" i="2"/>
  <c r="O222" i="2"/>
  <c r="X222" i="2"/>
  <c r="H222" i="2"/>
  <c r="H95" i="16" s="1"/>
  <c r="C102" i="16"/>
  <c r="D102" i="16"/>
  <c r="E102" i="16"/>
  <c r="F102" i="16"/>
  <c r="C103" i="16"/>
  <c r="D103" i="16"/>
  <c r="E103" i="16"/>
  <c r="F103" i="16"/>
  <c r="L170" i="2"/>
  <c r="M170" i="2"/>
  <c r="N170" i="2"/>
  <c r="O170" i="2"/>
  <c r="U102" i="16"/>
  <c r="X170" i="2"/>
  <c r="L171" i="2"/>
  <c r="M171" i="2"/>
  <c r="N171" i="2"/>
  <c r="O171" i="2"/>
  <c r="U103" i="16"/>
  <c r="X171" i="2"/>
  <c r="H170" i="2"/>
  <c r="H102" i="16" s="1"/>
  <c r="H171" i="2"/>
  <c r="H103" i="16" s="1"/>
  <c r="U79" i="20"/>
  <c r="U87" i="20" s="1"/>
  <c r="F79" i="20"/>
  <c r="E79" i="20"/>
  <c r="E63" i="38" s="1"/>
  <c r="D79" i="20"/>
  <c r="D63" i="38" s="1"/>
  <c r="C79" i="20"/>
  <c r="C63" i="38" s="1"/>
  <c r="C73" i="18"/>
  <c r="D73" i="18"/>
  <c r="E73" i="18"/>
  <c r="F73" i="18"/>
  <c r="U73" i="18"/>
  <c r="C59" i="38" l="1"/>
  <c r="C60" i="38"/>
  <c r="E59" i="38"/>
  <c r="E60" i="38"/>
  <c r="E137" i="26"/>
  <c r="D137" i="26"/>
  <c r="C137" i="26"/>
  <c r="V118" i="2"/>
  <c r="AC118" i="2" s="1"/>
  <c r="AB20" i="2"/>
  <c r="X8" i="20"/>
  <c r="X9" i="20" s="1"/>
  <c r="AB222" i="2"/>
  <c r="X95" i="16"/>
  <c r="AB170" i="2"/>
  <c r="X102" i="16"/>
  <c r="AB171" i="2"/>
  <c r="X103" i="16"/>
  <c r="AB321" i="2"/>
  <c r="X155" i="16"/>
  <c r="AB180" i="2"/>
  <c r="U11" i="16"/>
  <c r="Q222" i="2"/>
  <c r="Q321" i="2"/>
  <c r="Q180" i="2"/>
  <c r="Q20" i="2"/>
  <c r="Q170" i="2"/>
  <c r="Q171" i="2"/>
  <c r="L196" i="2"/>
  <c r="M196" i="2"/>
  <c r="N196" i="2"/>
  <c r="O196" i="2"/>
  <c r="X196" i="2"/>
  <c r="L197" i="2"/>
  <c r="M197" i="2"/>
  <c r="N197" i="2"/>
  <c r="O197" i="2"/>
  <c r="X197" i="2"/>
  <c r="AB197" i="2" s="1"/>
  <c r="Z79" i="20"/>
  <c r="Z87" i="20" s="1"/>
  <c r="L198" i="2"/>
  <c r="M198" i="2"/>
  <c r="N198" i="2"/>
  <c r="O198" i="2"/>
  <c r="X198" i="2"/>
  <c r="H196" i="2"/>
  <c r="H73" i="18" s="1"/>
  <c r="H197" i="2"/>
  <c r="H79" i="20" s="1"/>
  <c r="H198" i="2"/>
  <c r="H85" i="20" s="1"/>
  <c r="C50" i="16"/>
  <c r="D50" i="16"/>
  <c r="E50" i="16"/>
  <c r="F50" i="16"/>
  <c r="U50" i="16"/>
  <c r="C51" i="16"/>
  <c r="D51" i="16"/>
  <c r="E51" i="16"/>
  <c r="F51" i="16"/>
  <c r="U51" i="16"/>
  <c r="L115" i="2"/>
  <c r="M115" i="2"/>
  <c r="N115" i="2"/>
  <c r="O115" i="2"/>
  <c r="X115" i="2"/>
  <c r="X25" i="30" s="1"/>
  <c r="AB25" i="30" s="1"/>
  <c r="L116" i="2"/>
  <c r="M116" i="2"/>
  <c r="N116" i="2"/>
  <c r="O116" i="2"/>
  <c r="X116" i="2"/>
  <c r="L117" i="2"/>
  <c r="M117" i="2"/>
  <c r="N117" i="2"/>
  <c r="O117" i="2"/>
  <c r="X117" i="2"/>
  <c r="H50" i="16"/>
  <c r="H51" i="16"/>
  <c r="C38" i="20"/>
  <c r="D38" i="20"/>
  <c r="E38" i="20"/>
  <c r="F38" i="20"/>
  <c r="C39" i="20"/>
  <c r="D39" i="20"/>
  <c r="E39" i="20"/>
  <c r="F39" i="20"/>
  <c r="C40" i="20"/>
  <c r="D40" i="20"/>
  <c r="E40" i="20"/>
  <c r="F40" i="20"/>
  <c r="C41" i="20"/>
  <c r="D41" i="20"/>
  <c r="E41" i="20"/>
  <c r="F41" i="20"/>
  <c r="C42" i="20"/>
  <c r="C32" i="38" s="1"/>
  <c r="D42" i="20"/>
  <c r="D32" i="38" s="1"/>
  <c r="E42" i="20"/>
  <c r="E32" i="38" s="1"/>
  <c r="F42" i="20"/>
  <c r="C43" i="20"/>
  <c r="D43" i="20"/>
  <c r="E43" i="20"/>
  <c r="F43" i="20"/>
  <c r="Z43" i="20"/>
  <c r="L344" i="2"/>
  <c r="M344" i="2"/>
  <c r="N344" i="2"/>
  <c r="O344" i="2"/>
  <c r="U38" i="20"/>
  <c r="X344" i="2"/>
  <c r="AB344" i="2" s="1"/>
  <c r="L345" i="2"/>
  <c r="M345" i="2"/>
  <c r="N345" i="2"/>
  <c r="O345" i="2"/>
  <c r="U39" i="20"/>
  <c r="X345" i="2"/>
  <c r="AB345" i="2" s="1"/>
  <c r="L346" i="2"/>
  <c r="M346" i="2"/>
  <c r="N346" i="2"/>
  <c r="O346" i="2"/>
  <c r="U40" i="20"/>
  <c r="X346" i="2"/>
  <c r="AB346" i="2" s="1"/>
  <c r="L347" i="2"/>
  <c r="M347" i="2"/>
  <c r="N347" i="2"/>
  <c r="O347" i="2"/>
  <c r="U41" i="20"/>
  <c r="X347" i="2"/>
  <c r="AB347" i="2" s="1"/>
  <c r="L348" i="2"/>
  <c r="M348" i="2"/>
  <c r="N348" i="2"/>
  <c r="O348" i="2"/>
  <c r="U42" i="20"/>
  <c r="X348" i="2"/>
  <c r="AB348" i="2" s="1"/>
  <c r="L349" i="2"/>
  <c r="M349" i="2"/>
  <c r="N349" i="2"/>
  <c r="O349" i="2"/>
  <c r="U43" i="20"/>
  <c r="H344" i="2"/>
  <c r="H38" i="20" s="1"/>
  <c r="H345" i="2"/>
  <c r="H39" i="20" s="1"/>
  <c r="H346" i="2"/>
  <c r="H40" i="20" s="1"/>
  <c r="H347" i="2"/>
  <c r="H41" i="20" s="1"/>
  <c r="H348" i="2"/>
  <c r="H42" i="20" s="1"/>
  <c r="H349" i="2"/>
  <c r="H43" i="20" s="1"/>
  <c r="C149" i="16"/>
  <c r="D149" i="16"/>
  <c r="E149" i="16"/>
  <c r="F149" i="16"/>
  <c r="C150" i="16"/>
  <c r="D150" i="16"/>
  <c r="E150" i="16"/>
  <c r="F150" i="16"/>
  <c r="C151" i="16"/>
  <c r="D151" i="16"/>
  <c r="E151" i="16"/>
  <c r="F151" i="16"/>
  <c r="C152" i="16"/>
  <c r="D152" i="16"/>
  <c r="E152" i="16"/>
  <c r="F152" i="16"/>
  <c r="C153" i="16"/>
  <c r="D153" i="16"/>
  <c r="E153" i="16"/>
  <c r="F153" i="16"/>
  <c r="C154" i="16"/>
  <c r="C135" i="26" s="1"/>
  <c r="D154" i="16"/>
  <c r="E154" i="16"/>
  <c r="F154" i="16"/>
  <c r="U149" i="16"/>
  <c r="X315" i="2"/>
  <c r="U150" i="16"/>
  <c r="X316" i="2"/>
  <c r="U151" i="16"/>
  <c r="X317" i="2"/>
  <c r="U152" i="16"/>
  <c r="X318" i="2"/>
  <c r="U153" i="16"/>
  <c r="X319" i="2"/>
  <c r="U154" i="16"/>
  <c r="X320" i="2"/>
  <c r="L315" i="2"/>
  <c r="M315" i="2"/>
  <c r="N315" i="2"/>
  <c r="O315" i="2"/>
  <c r="L316" i="2"/>
  <c r="M316" i="2"/>
  <c r="N316" i="2"/>
  <c r="O316" i="2"/>
  <c r="L317" i="2"/>
  <c r="M317" i="2"/>
  <c r="N317" i="2"/>
  <c r="O317" i="2"/>
  <c r="L318" i="2"/>
  <c r="M318" i="2"/>
  <c r="N318" i="2"/>
  <c r="O318" i="2"/>
  <c r="L319" i="2"/>
  <c r="M319" i="2"/>
  <c r="N319" i="2"/>
  <c r="O319" i="2"/>
  <c r="L320" i="2"/>
  <c r="M320" i="2"/>
  <c r="N320" i="2"/>
  <c r="O320" i="2"/>
  <c r="H315" i="2"/>
  <c r="H149" i="16" s="1"/>
  <c r="H316" i="2"/>
  <c r="H150" i="16" s="1"/>
  <c r="H317" i="2"/>
  <c r="H318" i="2"/>
  <c r="H152" i="16" s="1"/>
  <c r="H319" i="2"/>
  <c r="H153" i="16" s="1"/>
  <c r="H320" i="2"/>
  <c r="H154" i="16" s="1"/>
  <c r="C133" i="26" l="1"/>
  <c r="C131" i="26"/>
  <c r="D30" i="38"/>
  <c r="D33" i="38"/>
  <c r="D28" i="38"/>
  <c r="D31" i="38"/>
  <c r="C30" i="38"/>
  <c r="C33" i="38"/>
  <c r="C28" i="38"/>
  <c r="C31" i="38"/>
  <c r="E30" i="38"/>
  <c r="E33" i="38"/>
  <c r="E28" i="38"/>
  <c r="E31" i="38"/>
  <c r="E132" i="26"/>
  <c r="D132" i="26"/>
  <c r="E135" i="26"/>
  <c r="E133" i="26"/>
  <c r="E131" i="26"/>
  <c r="E136" i="26"/>
  <c r="D135" i="26"/>
  <c r="D133" i="26"/>
  <c r="D131" i="26"/>
  <c r="C136" i="26"/>
  <c r="C132" i="26"/>
  <c r="D136" i="26"/>
  <c r="D92" i="26"/>
  <c r="D134" i="26"/>
  <c r="D91" i="26"/>
  <c r="C92" i="26"/>
  <c r="C134" i="26"/>
  <c r="C91" i="26"/>
  <c r="E29" i="38"/>
  <c r="D29" i="38"/>
  <c r="C29" i="38"/>
  <c r="E92" i="26"/>
  <c r="E134" i="26"/>
  <c r="E91" i="26"/>
  <c r="AB198" i="2"/>
  <c r="X85" i="20"/>
  <c r="AB85" i="20" s="1"/>
  <c r="AB8" i="20"/>
  <c r="AB9" i="20" s="1"/>
  <c r="AB320" i="2"/>
  <c r="X154" i="16"/>
  <c r="AB317" i="2"/>
  <c r="X151" i="16"/>
  <c r="AB319" i="2"/>
  <c r="X153" i="16"/>
  <c r="AB316" i="2"/>
  <c r="X150" i="16"/>
  <c r="AB196" i="2"/>
  <c r="X73" i="18"/>
  <c r="AB115" i="2"/>
  <c r="AB318" i="2"/>
  <c r="X152" i="16"/>
  <c r="AB315" i="2"/>
  <c r="X149" i="16"/>
  <c r="AB117" i="2"/>
  <c r="X51" i="16"/>
  <c r="AB116" i="2"/>
  <c r="X50" i="16"/>
  <c r="Z38" i="20"/>
  <c r="Z39" i="20"/>
  <c r="Z40" i="20"/>
  <c r="Z41" i="20"/>
  <c r="Z42" i="20"/>
  <c r="Y42" i="20"/>
  <c r="Y40" i="20"/>
  <c r="Y38" i="20"/>
  <c r="Y43" i="20"/>
  <c r="Y41" i="20"/>
  <c r="Y39" i="20"/>
  <c r="Y79" i="20"/>
  <c r="Q345" i="2"/>
  <c r="Q319" i="2"/>
  <c r="Q349" i="2"/>
  <c r="Q344" i="2"/>
  <c r="Q317" i="2"/>
  <c r="Q196" i="2"/>
  <c r="Q346" i="2"/>
  <c r="Q347" i="2"/>
  <c r="Q197" i="2"/>
  <c r="Q348" i="2"/>
  <c r="Q198" i="2"/>
  <c r="Q116" i="2"/>
  <c r="Q117" i="2"/>
  <c r="Q115" i="2"/>
  <c r="H151" i="16"/>
  <c r="Q316" i="2"/>
  <c r="Q320" i="2"/>
  <c r="Q318" i="2"/>
  <c r="Q315" i="2"/>
  <c r="X31" i="2" l="1"/>
  <c r="L229" i="2"/>
  <c r="M229" i="2"/>
  <c r="N229" i="2"/>
  <c r="O229" i="2"/>
  <c r="X229" i="2"/>
  <c r="X21" i="16" s="1"/>
  <c r="AB21" i="16" s="1"/>
  <c r="H229" i="2"/>
  <c r="H21" i="16" s="1"/>
  <c r="U13" i="16"/>
  <c r="U18" i="16" s="1"/>
  <c r="F13" i="16"/>
  <c r="E13" i="16"/>
  <c r="D13" i="16"/>
  <c r="C13" i="16"/>
  <c r="X32" i="2"/>
  <c r="L32" i="2"/>
  <c r="M32" i="2"/>
  <c r="N32" i="2"/>
  <c r="O32" i="2"/>
  <c r="H13" i="16"/>
  <c r="C148" i="16"/>
  <c r="D148" i="16"/>
  <c r="E148" i="16"/>
  <c r="F148" i="16"/>
  <c r="U148" i="16"/>
  <c r="L314" i="2"/>
  <c r="M314" i="2"/>
  <c r="N314" i="2"/>
  <c r="O314" i="2"/>
  <c r="H314" i="2"/>
  <c r="H148" i="16" s="1"/>
  <c r="C32" i="14"/>
  <c r="C171" i="26" s="1"/>
  <c r="D32" i="14"/>
  <c r="D171" i="26" s="1"/>
  <c r="F32" i="14"/>
  <c r="U32" i="14"/>
  <c r="C33" i="14"/>
  <c r="C172" i="26" s="1"/>
  <c r="D33" i="14"/>
  <c r="D172" i="26" s="1"/>
  <c r="F33" i="14"/>
  <c r="U33" i="14"/>
  <c r="C37" i="20"/>
  <c r="C27" i="38" s="1"/>
  <c r="D37" i="20"/>
  <c r="D27" i="38" s="1"/>
  <c r="E37" i="20"/>
  <c r="E27" i="38" s="1"/>
  <c r="F37" i="20"/>
  <c r="U37" i="20"/>
  <c r="C69" i="20"/>
  <c r="D69" i="20"/>
  <c r="D54" i="38" s="1"/>
  <c r="E69" i="20"/>
  <c r="F69" i="20"/>
  <c r="U69" i="20"/>
  <c r="U68" i="20"/>
  <c r="F68" i="20"/>
  <c r="E68" i="20"/>
  <c r="E56" i="38" s="1"/>
  <c r="D68" i="20"/>
  <c r="C68" i="20"/>
  <c r="C56" i="38" s="1"/>
  <c r="L341" i="2"/>
  <c r="M341" i="2"/>
  <c r="N341" i="2"/>
  <c r="O341" i="2"/>
  <c r="X341" i="2"/>
  <c r="AB341" i="2" s="1"/>
  <c r="L342" i="2"/>
  <c r="M342" i="2"/>
  <c r="N342" i="2"/>
  <c r="O342" i="2"/>
  <c r="X342" i="2"/>
  <c r="AB342" i="2" s="1"/>
  <c r="L343" i="2"/>
  <c r="M343" i="2"/>
  <c r="N343" i="2"/>
  <c r="O343" i="2"/>
  <c r="X343" i="2"/>
  <c r="AB343" i="2" s="1"/>
  <c r="H341" i="2"/>
  <c r="H37" i="20" s="1"/>
  <c r="H342" i="2"/>
  <c r="H68" i="20" s="1"/>
  <c r="H343" i="2"/>
  <c r="H69" i="20" s="1"/>
  <c r="L256" i="2"/>
  <c r="M256" i="2"/>
  <c r="N256" i="2"/>
  <c r="O256" i="2"/>
  <c r="X256" i="2"/>
  <c r="AB256" i="2" s="1"/>
  <c r="Z32" i="14"/>
  <c r="L257" i="2"/>
  <c r="M257" i="2"/>
  <c r="N257" i="2"/>
  <c r="O257" i="2"/>
  <c r="X257" i="2"/>
  <c r="Z33" i="14"/>
  <c r="H256" i="2"/>
  <c r="H32" i="14" s="1"/>
  <c r="H257" i="2"/>
  <c r="C10" i="26" l="1"/>
  <c r="C9" i="26"/>
  <c r="C130" i="26"/>
  <c r="C127" i="26"/>
  <c r="D10" i="26"/>
  <c r="D9" i="26"/>
  <c r="D130" i="26"/>
  <c r="D127" i="26"/>
  <c r="E130" i="26"/>
  <c r="E127" i="26"/>
  <c r="E54" i="38"/>
  <c r="E57" i="38"/>
  <c r="C54" i="38"/>
  <c r="C57" i="38"/>
  <c r="E10" i="26"/>
  <c r="E9" i="26"/>
  <c r="D90" i="26"/>
  <c r="C90" i="26"/>
  <c r="E90" i="26"/>
  <c r="E37" i="38"/>
  <c r="E53" i="38"/>
  <c r="C36" i="38"/>
  <c r="C52" i="38"/>
  <c r="D37" i="38"/>
  <c r="D53" i="38"/>
  <c r="D36" i="38"/>
  <c r="D52" i="38"/>
  <c r="C37" i="38"/>
  <c r="C53" i="38"/>
  <c r="E36" i="38"/>
  <c r="E52" i="38"/>
  <c r="U74" i="20"/>
  <c r="E11" i="26"/>
  <c r="C11" i="26"/>
  <c r="AB257" i="2"/>
  <c r="X22" i="14"/>
  <c r="AB22" i="14" s="1"/>
  <c r="H22" i="14"/>
  <c r="AB314" i="2"/>
  <c r="X148" i="16"/>
  <c r="AB229" i="2"/>
  <c r="AB32" i="2"/>
  <c r="X13" i="16"/>
  <c r="AB13" i="16" s="1"/>
  <c r="Z69" i="20"/>
  <c r="Z37" i="20"/>
  <c r="Z68" i="20"/>
  <c r="Z18" i="16"/>
  <c r="Y69" i="20"/>
  <c r="Y68" i="20"/>
  <c r="Y37" i="20"/>
  <c r="Y32" i="14"/>
  <c r="Q229" i="2"/>
  <c r="Q314" i="2"/>
  <c r="Q32" i="2"/>
  <c r="Q341" i="2"/>
  <c r="Q342" i="2"/>
  <c r="Q343" i="2"/>
  <c r="Q256" i="2"/>
  <c r="Q257" i="2"/>
  <c r="F125" i="16" l="1"/>
  <c r="F27" i="14"/>
  <c r="D228" i="2" l="1"/>
  <c r="D76" i="20" s="1"/>
  <c r="D59" i="38" l="1"/>
  <c r="D62" i="38"/>
  <c r="D39" i="38"/>
  <c r="D58" i="38"/>
  <c r="X48" i="2"/>
  <c r="X17" i="30" s="1"/>
  <c r="C11" i="23" l="1"/>
  <c r="C82" i="18"/>
  <c r="D82" i="18"/>
  <c r="E82" i="18"/>
  <c r="F82" i="18"/>
  <c r="U82" i="18"/>
  <c r="C32" i="20"/>
  <c r="C19" i="38" s="1"/>
  <c r="D32" i="20"/>
  <c r="D19" i="38" s="1"/>
  <c r="E32" i="20"/>
  <c r="E19" i="38" s="1"/>
  <c r="F32" i="20"/>
  <c r="U32" i="20"/>
  <c r="C33" i="20"/>
  <c r="D33" i="20"/>
  <c r="E33" i="20"/>
  <c r="F33" i="20"/>
  <c r="U33" i="20"/>
  <c r="C34" i="20"/>
  <c r="D34" i="20"/>
  <c r="E34" i="20"/>
  <c r="F34" i="20"/>
  <c r="U34" i="20"/>
  <c r="C35" i="20"/>
  <c r="C25" i="38" s="1"/>
  <c r="D35" i="20"/>
  <c r="D25" i="38" s="1"/>
  <c r="E35" i="20"/>
  <c r="E25" i="38" s="1"/>
  <c r="F35" i="20"/>
  <c r="U35" i="20"/>
  <c r="C36" i="20"/>
  <c r="C26" i="38" s="1"/>
  <c r="D36" i="20"/>
  <c r="D26" i="38" s="1"/>
  <c r="E36" i="20"/>
  <c r="E26" i="38" s="1"/>
  <c r="F36" i="20"/>
  <c r="U36" i="20"/>
  <c r="E24" i="38" l="1"/>
  <c r="D24" i="38"/>
  <c r="C24" i="38"/>
  <c r="E15" i="38"/>
  <c r="E22" i="38"/>
  <c r="D22" i="38"/>
  <c r="C15" i="38"/>
  <c r="C22" i="38"/>
  <c r="E16" i="38"/>
  <c r="E23" i="38"/>
  <c r="C16" i="38"/>
  <c r="C23" i="38"/>
  <c r="D16" i="38"/>
  <c r="D23" i="38"/>
  <c r="P8" i="3"/>
  <c r="O8" i="3"/>
  <c r="N8" i="3"/>
  <c r="M8" i="3"/>
  <c r="Z8" i="3" s="1"/>
  <c r="L195" i="2" l="1"/>
  <c r="Y195" i="2" s="1"/>
  <c r="Y170" i="16" s="1"/>
  <c r="M195" i="2"/>
  <c r="N195" i="2"/>
  <c r="O195" i="2"/>
  <c r="X195" i="2"/>
  <c r="X170" i="16" s="1"/>
  <c r="H195" i="2"/>
  <c r="H170" i="16" s="1"/>
  <c r="H221" i="2"/>
  <c r="H82" i="18" s="1"/>
  <c r="L221" i="2"/>
  <c r="Y221" i="2" s="1"/>
  <c r="Y82" i="18" s="1"/>
  <c r="M221" i="2"/>
  <c r="N221" i="2"/>
  <c r="O221" i="2"/>
  <c r="X221" i="2"/>
  <c r="L114" i="2"/>
  <c r="M114" i="2"/>
  <c r="N114" i="2"/>
  <c r="O114" i="2"/>
  <c r="X114" i="2"/>
  <c r="X68" i="16" s="1"/>
  <c r="AB68" i="16" s="1"/>
  <c r="L336" i="2"/>
  <c r="Y336" i="2" s="1"/>
  <c r="M336" i="2"/>
  <c r="N336" i="2"/>
  <c r="O336" i="2"/>
  <c r="X336" i="2"/>
  <c r="AB336" i="2" s="1"/>
  <c r="L337" i="2"/>
  <c r="M337" i="2"/>
  <c r="N337" i="2"/>
  <c r="O337" i="2"/>
  <c r="X337" i="2"/>
  <c r="AB337" i="2" s="1"/>
  <c r="L338" i="2"/>
  <c r="M338" i="2"/>
  <c r="N338" i="2"/>
  <c r="O338" i="2"/>
  <c r="X338" i="2"/>
  <c r="AB338" i="2" s="1"/>
  <c r="L339" i="2"/>
  <c r="Y339" i="2" s="1"/>
  <c r="M339" i="2"/>
  <c r="N339" i="2"/>
  <c r="O339" i="2"/>
  <c r="X339" i="2"/>
  <c r="L340" i="2"/>
  <c r="M340" i="2"/>
  <c r="N340" i="2"/>
  <c r="O340" i="2"/>
  <c r="X340" i="2"/>
  <c r="AB340" i="2" s="1"/>
  <c r="H336" i="2"/>
  <c r="H32" i="20" s="1"/>
  <c r="H337" i="2"/>
  <c r="H33" i="20" s="1"/>
  <c r="H338" i="2"/>
  <c r="H34" i="20" s="1"/>
  <c r="H339" i="2"/>
  <c r="H35" i="20" s="1"/>
  <c r="H340" i="2"/>
  <c r="H36" i="20" s="1"/>
  <c r="AB339" i="2" l="1"/>
  <c r="AB170" i="16"/>
  <c r="AB195" i="2"/>
  <c r="AB221" i="2"/>
  <c r="X82" i="18"/>
  <c r="AB114" i="2"/>
  <c r="Z35" i="20"/>
  <c r="Z33" i="20"/>
  <c r="Z36" i="20"/>
  <c r="Z32" i="20"/>
  <c r="Z34" i="20"/>
  <c r="Y36" i="20"/>
  <c r="Y33" i="20"/>
  <c r="Y34" i="20"/>
  <c r="Y35" i="20"/>
  <c r="Y32" i="20"/>
  <c r="Q221" i="2"/>
  <c r="Q114" i="2"/>
  <c r="Q339" i="2"/>
  <c r="Q336" i="2"/>
  <c r="Q195" i="2"/>
  <c r="Q337" i="2"/>
  <c r="Q340" i="2"/>
  <c r="Q338" i="2"/>
  <c r="C48" i="16" l="1"/>
  <c r="D48" i="16"/>
  <c r="E48" i="16"/>
  <c r="F48" i="16"/>
  <c r="U48" i="16"/>
  <c r="C49" i="16"/>
  <c r="D49" i="16"/>
  <c r="E49" i="16"/>
  <c r="F49" i="16"/>
  <c r="U49" i="16"/>
  <c r="L112" i="2"/>
  <c r="Y112" i="2" s="1"/>
  <c r="Y48" i="16" s="1"/>
  <c r="M112" i="2"/>
  <c r="N112" i="2"/>
  <c r="O112" i="2"/>
  <c r="X112" i="2"/>
  <c r="L113" i="2"/>
  <c r="Y113" i="2" s="1"/>
  <c r="Y49" i="16" s="1"/>
  <c r="M113" i="2"/>
  <c r="N113" i="2"/>
  <c r="O113" i="2"/>
  <c r="X113" i="2"/>
  <c r="H48" i="16"/>
  <c r="H49" i="16"/>
  <c r="C147" i="16"/>
  <c r="C129" i="26" s="1"/>
  <c r="D147" i="16"/>
  <c r="D129" i="26" s="1"/>
  <c r="E147" i="16"/>
  <c r="E129" i="26" s="1"/>
  <c r="F147" i="16"/>
  <c r="U147" i="16"/>
  <c r="L313" i="2"/>
  <c r="Y313" i="2" s="1"/>
  <c r="Y147" i="16" s="1"/>
  <c r="M313" i="2"/>
  <c r="N313" i="2"/>
  <c r="O313" i="2"/>
  <c r="H313" i="2"/>
  <c r="H147" i="16" s="1"/>
  <c r="C30" i="20"/>
  <c r="D30" i="20"/>
  <c r="E30" i="20"/>
  <c r="F30" i="20"/>
  <c r="U30" i="20"/>
  <c r="C31" i="20"/>
  <c r="D31" i="20"/>
  <c r="E31" i="20"/>
  <c r="F31" i="20"/>
  <c r="U31" i="20"/>
  <c r="X334" i="2"/>
  <c r="X335" i="2"/>
  <c r="L335" i="2"/>
  <c r="Y335" i="2" s="1"/>
  <c r="M335" i="2"/>
  <c r="N335" i="2"/>
  <c r="O335" i="2"/>
  <c r="L334" i="2"/>
  <c r="Y334" i="2" s="1"/>
  <c r="M334" i="2"/>
  <c r="N334" i="2"/>
  <c r="O334" i="2"/>
  <c r="H335" i="2"/>
  <c r="H31" i="20" s="1"/>
  <c r="H334" i="2"/>
  <c r="H30" i="20" s="1"/>
  <c r="H333" i="2"/>
  <c r="H29" i="20" s="1"/>
  <c r="H309" i="2"/>
  <c r="H310" i="2"/>
  <c r="H312" i="2"/>
  <c r="H146" i="16" s="1"/>
  <c r="H296" i="2"/>
  <c r="H297" i="2"/>
  <c r="H298" i="2"/>
  <c r="H174" i="16" s="1"/>
  <c r="H299" i="2"/>
  <c r="H300" i="2"/>
  <c r="H301" i="2"/>
  <c r="H302" i="2"/>
  <c r="H303" i="2"/>
  <c r="H304" i="2"/>
  <c r="H305" i="2"/>
  <c r="H306" i="2"/>
  <c r="H307" i="2"/>
  <c r="H308" i="2"/>
  <c r="H294" i="2"/>
  <c r="H295" i="2"/>
  <c r="H288" i="2"/>
  <c r="H289" i="2"/>
  <c r="H290" i="2"/>
  <c r="H291" i="2"/>
  <c r="H292" i="2"/>
  <c r="H293" i="2"/>
  <c r="G284" i="2"/>
  <c r="H284" i="2"/>
  <c r="G285" i="2"/>
  <c r="H285" i="2"/>
  <c r="G286" i="2"/>
  <c r="H286" i="2"/>
  <c r="G287" i="2"/>
  <c r="H287" i="2"/>
  <c r="H253" i="2"/>
  <c r="H14" i="14" s="1"/>
  <c r="H254" i="2"/>
  <c r="H255" i="2"/>
  <c r="H249" i="2"/>
  <c r="H33" i="14" s="1"/>
  <c r="H250" i="2"/>
  <c r="H251" i="2"/>
  <c r="H252" i="2"/>
  <c r="H248" i="2"/>
  <c r="H247" i="2"/>
  <c r="H246" i="2"/>
  <c r="H245" i="2"/>
  <c r="H244" i="2"/>
  <c r="G244" i="2"/>
  <c r="H243" i="2"/>
  <c r="H13" i="14" s="1"/>
  <c r="G243" i="2"/>
  <c r="G13" i="14" s="1"/>
  <c r="G237" i="2"/>
  <c r="G12" i="20" s="1"/>
  <c r="H237" i="2"/>
  <c r="H12" i="20" s="1"/>
  <c r="G238" i="2"/>
  <c r="G70" i="20" s="1"/>
  <c r="H238" i="2"/>
  <c r="H70" i="20" s="1"/>
  <c r="G239" i="2"/>
  <c r="G24" i="20" s="1"/>
  <c r="H239" i="2"/>
  <c r="H24" i="20" s="1"/>
  <c r="G240" i="2"/>
  <c r="G71" i="20" s="1"/>
  <c r="H240" i="2"/>
  <c r="H71" i="20" s="1"/>
  <c r="G235" i="2"/>
  <c r="G80" i="20" s="1"/>
  <c r="H235" i="2"/>
  <c r="H80" i="20" s="1"/>
  <c r="G236" i="2"/>
  <c r="G11" i="20" s="1"/>
  <c r="H236" i="2"/>
  <c r="H11" i="20" s="1"/>
  <c r="H234" i="2"/>
  <c r="H23" i="20" s="1"/>
  <c r="G234" i="2"/>
  <c r="G23" i="20" s="1"/>
  <c r="H233" i="2"/>
  <c r="H72" i="20" s="1"/>
  <c r="G233" i="2"/>
  <c r="G72" i="20" s="1"/>
  <c r="H228" i="2"/>
  <c r="H76" i="20" s="1"/>
  <c r="G228" i="2"/>
  <c r="G76" i="20" s="1"/>
  <c r="G210" i="2"/>
  <c r="G13" i="30" s="1"/>
  <c r="H210" i="2"/>
  <c r="G211" i="2"/>
  <c r="H211" i="2"/>
  <c r="G212" i="2"/>
  <c r="G14" i="30" s="1"/>
  <c r="H212" i="2"/>
  <c r="G213" i="2"/>
  <c r="H213" i="2"/>
  <c r="G214" i="2"/>
  <c r="H214" i="2"/>
  <c r="G215" i="2"/>
  <c r="H215" i="2"/>
  <c r="G216" i="2"/>
  <c r="H216" i="2"/>
  <c r="G217" i="2"/>
  <c r="H217" i="2"/>
  <c r="G218" i="2"/>
  <c r="G91" i="16" s="1"/>
  <c r="H218" i="2"/>
  <c r="H91" i="16" s="1"/>
  <c r="H219" i="2"/>
  <c r="H220" i="2"/>
  <c r="H209" i="2"/>
  <c r="G209" i="2"/>
  <c r="H208" i="2"/>
  <c r="G208" i="2"/>
  <c r="H207" i="2"/>
  <c r="H88" i="16" s="1"/>
  <c r="G207" i="2"/>
  <c r="G88" i="16" s="1"/>
  <c r="H206" i="2"/>
  <c r="G206" i="2"/>
  <c r="H205" i="2"/>
  <c r="G205" i="2"/>
  <c r="H204" i="2"/>
  <c r="G204" i="2"/>
  <c r="G190" i="2"/>
  <c r="G82" i="20" s="1"/>
  <c r="H190" i="2"/>
  <c r="H82" i="20" s="1"/>
  <c r="H191" i="2"/>
  <c r="H169" i="16" s="1"/>
  <c r="H192" i="2"/>
  <c r="H83" i="20" s="1"/>
  <c r="H193" i="2"/>
  <c r="H194" i="2"/>
  <c r="H84" i="20" s="1"/>
  <c r="H189" i="2"/>
  <c r="G189" i="2"/>
  <c r="H188" i="2"/>
  <c r="G188" i="2"/>
  <c r="H187" i="2"/>
  <c r="H81" i="20" s="1"/>
  <c r="G187" i="2"/>
  <c r="G81" i="20" s="1"/>
  <c r="H186" i="2"/>
  <c r="G186" i="2"/>
  <c r="H185" i="2"/>
  <c r="G185" i="2"/>
  <c r="H179" i="2"/>
  <c r="H173" i="16" s="1"/>
  <c r="H178" i="2"/>
  <c r="G178" i="2"/>
  <c r="H177" i="2"/>
  <c r="G177" i="2"/>
  <c r="H176" i="2"/>
  <c r="H22" i="16" s="1"/>
  <c r="G176" i="2"/>
  <c r="G22" i="16" s="1"/>
  <c r="H175" i="2"/>
  <c r="G175" i="2"/>
  <c r="G166" i="2"/>
  <c r="G101" i="16" s="1"/>
  <c r="H166" i="2"/>
  <c r="H101" i="16" s="1"/>
  <c r="G167" i="2"/>
  <c r="H167" i="2"/>
  <c r="G168" i="2"/>
  <c r="H168" i="2"/>
  <c r="H169" i="2"/>
  <c r="G144" i="2"/>
  <c r="G108" i="16" s="1"/>
  <c r="H144" i="2"/>
  <c r="H108" i="16" s="1"/>
  <c r="G145" i="2"/>
  <c r="H145" i="2"/>
  <c r="G146" i="2"/>
  <c r="G28" i="20" s="1"/>
  <c r="H146" i="2"/>
  <c r="H28" i="20" s="1"/>
  <c r="G147" i="2"/>
  <c r="G109" i="16" s="1"/>
  <c r="H147" i="2"/>
  <c r="H109" i="16" s="1"/>
  <c r="G148" i="2"/>
  <c r="G27" i="20" s="1"/>
  <c r="H148" i="2"/>
  <c r="H27" i="20" s="1"/>
  <c r="G149" i="2"/>
  <c r="H149" i="2"/>
  <c r="G150" i="2"/>
  <c r="G110" i="16" s="1"/>
  <c r="H150" i="2"/>
  <c r="H110" i="16" s="1"/>
  <c r="G151" i="2"/>
  <c r="G111" i="16" s="1"/>
  <c r="H151" i="2"/>
  <c r="H111" i="16" s="1"/>
  <c r="G152" i="2"/>
  <c r="G112" i="16" s="1"/>
  <c r="H152" i="2"/>
  <c r="H112" i="16" s="1"/>
  <c r="G153" i="2"/>
  <c r="H153" i="2"/>
  <c r="G154" i="2"/>
  <c r="G113" i="16" s="1"/>
  <c r="H154" i="2"/>
  <c r="H113" i="16" s="1"/>
  <c r="G155" i="2"/>
  <c r="H155" i="2"/>
  <c r="G156" i="2"/>
  <c r="H156" i="2"/>
  <c r="G157" i="2"/>
  <c r="G114" i="16" s="1"/>
  <c r="H157" i="2"/>
  <c r="H114" i="16" s="1"/>
  <c r="G158" i="2"/>
  <c r="G116" i="16" s="1"/>
  <c r="H158" i="2"/>
  <c r="H116" i="16" s="1"/>
  <c r="G159" i="2"/>
  <c r="G115" i="16" s="1"/>
  <c r="H159" i="2"/>
  <c r="H115" i="16" s="1"/>
  <c r="G160" i="2"/>
  <c r="G117" i="16" s="1"/>
  <c r="H160" i="2"/>
  <c r="H117" i="16" s="1"/>
  <c r="G162" i="2"/>
  <c r="G118" i="16" s="1"/>
  <c r="H162" i="2"/>
  <c r="H118" i="16" s="1"/>
  <c r="H163" i="2"/>
  <c r="H119" i="16" s="1"/>
  <c r="H143" i="2"/>
  <c r="G143" i="2"/>
  <c r="H142" i="2"/>
  <c r="G142" i="2"/>
  <c r="G88" i="2"/>
  <c r="G31" i="30" s="1"/>
  <c r="G77" i="2"/>
  <c r="G72" i="2"/>
  <c r="G61" i="16" s="1"/>
  <c r="G73" i="2"/>
  <c r="G74" i="2"/>
  <c r="G75" i="2"/>
  <c r="G76" i="2"/>
  <c r="G63" i="2"/>
  <c r="G64" i="2"/>
  <c r="G65" i="2"/>
  <c r="G22" i="30" s="1"/>
  <c r="G66" i="2"/>
  <c r="G59" i="16" s="1"/>
  <c r="G67" i="2"/>
  <c r="G68" i="2"/>
  <c r="G60" i="16" s="1"/>
  <c r="G69" i="2"/>
  <c r="G70" i="2"/>
  <c r="G71" i="2"/>
  <c r="G58" i="2"/>
  <c r="G19" i="30" s="1"/>
  <c r="G59" i="2"/>
  <c r="G60" i="2"/>
  <c r="G57" i="16" s="1"/>
  <c r="G61" i="2"/>
  <c r="G58" i="16" s="1"/>
  <c r="G62" i="2"/>
  <c r="G51" i="2"/>
  <c r="G26" i="30" s="1"/>
  <c r="G52" i="2"/>
  <c r="G53" i="2"/>
  <c r="G54" i="2"/>
  <c r="G56" i="16" s="1"/>
  <c r="G55" i="2"/>
  <c r="G56" i="2"/>
  <c r="G57" i="2"/>
  <c r="G44" i="2"/>
  <c r="G54" i="16" s="1"/>
  <c r="G45" i="2"/>
  <c r="G46" i="2"/>
  <c r="G55" i="16" s="1"/>
  <c r="G47" i="2"/>
  <c r="G48" i="2"/>
  <c r="G17" i="30" s="1"/>
  <c r="G49" i="2"/>
  <c r="G50" i="2"/>
  <c r="G18" i="30" s="1"/>
  <c r="G43" i="2"/>
  <c r="G42" i="2"/>
  <c r="G38" i="2"/>
  <c r="G20" i="16" s="1"/>
  <c r="G37" i="2"/>
  <c r="G28" i="2"/>
  <c r="G29" i="2"/>
  <c r="G15" i="16" s="1"/>
  <c r="G30" i="2"/>
  <c r="G27" i="2"/>
  <c r="H26" i="2"/>
  <c r="H14" i="16" s="1"/>
  <c r="G26" i="2"/>
  <c r="G14" i="16" s="1"/>
  <c r="H25" i="2"/>
  <c r="G25" i="2"/>
  <c r="H9" i="2"/>
  <c r="G11" i="2"/>
  <c r="G12" i="2"/>
  <c r="G13" i="2"/>
  <c r="G14" i="2"/>
  <c r="D18" i="38" l="1"/>
  <c r="D21" i="38"/>
  <c r="C18" i="38"/>
  <c r="C21" i="38"/>
  <c r="E18" i="38"/>
  <c r="E21" i="38"/>
  <c r="E17" i="38"/>
  <c r="E20" i="38"/>
  <c r="D17" i="38"/>
  <c r="D20" i="38"/>
  <c r="C17" i="38"/>
  <c r="C20" i="38"/>
  <c r="AB335" i="2"/>
  <c r="U66" i="20"/>
  <c r="U89" i="20" s="1"/>
  <c r="AB334" i="2"/>
  <c r="D128" i="26"/>
  <c r="C128" i="26"/>
  <c r="E128" i="26"/>
  <c r="I70" i="20"/>
  <c r="J70" i="20"/>
  <c r="I71" i="20"/>
  <c r="J71" i="20"/>
  <c r="I18" i="30"/>
  <c r="J18" i="30"/>
  <c r="I31" i="30"/>
  <c r="J31" i="30"/>
  <c r="I81" i="20"/>
  <c r="J81" i="20"/>
  <c r="I101" i="16"/>
  <c r="J101" i="16"/>
  <c r="I26" i="30"/>
  <c r="J26" i="30"/>
  <c r="I82" i="20"/>
  <c r="J82" i="20"/>
  <c r="I28" i="20"/>
  <c r="J28" i="20"/>
  <c r="I17" i="30"/>
  <c r="J17" i="30"/>
  <c r="I19" i="30"/>
  <c r="J19" i="30"/>
  <c r="I22" i="30"/>
  <c r="J22" i="30"/>
  <c r="G21" i="30"/>
  <c r="G20" i="30"/>
  <c r="I56" i="16"/>
  <c r="J56" i="16"/>
  <c r="I116" i="16"/>
  <c r="J116" i="16"/>
  <c r="I113" i="16"/>
  <c r="J113" i="16"/>
  <c r="I58" i="16"/>
  <c r="J58" i="16"/>
  <c r="I91" i="16"/>
  <c r="J91" i="16"/>
  <c r="I55" i="16"/>
  <c r="J55" i="16"/>
  <c r="I61" i="16"/>
  <c r="J61" i="16"/>
  <c r="I57" i="16"/>
  <c r="J57" i="16"/>
  <c r="I59" i="16"/>
  <c r="J59" i="16"/>
  <c r="I54" i="16"/>
  <c r="J54" i="16"/>
  <c r="I117" i="16"/>
  <c r="J117" i="16"/>
  <c r="I60" i="16"/>
  <c r="J60" i="16"/>
  <c r="I88" i="16"/>
  <c r="J88" i="16"/>
  <c r="I15" i="16"/>
  <c r="J15" i="16"/>
  <c r="I22" i="16"/>
  <c r="J22" i="16"/>
  <c r="I76" i="20"/>
  <c r="J76" i="20"/>
  <c r="I20" i="16"/>
  <c r="J20" i="16"/>
  <c r="I14" i="16"/>
  <c r="J14" i="16"/>
  <c r="I111" i="16"/>
  <c r="J111" i="16"/>
  <c r="I109" i="16"/>
  <c r="J109" i="16"/>
  <c r="I80" i="20"/>
  <c r="J80" i="20"/>
  <c r="I23" i="20"/>
  <c r="J23" i="20"/>
  <c r="I13" i="14"/>
  <c r="J13" i="14"/>
  <c r="I118" i="16"/>
  <c r="J118" i="16"/>
  <c r="I110" i="16"/>
  <c r="J110" i="16"/>
  <c r="I114" i="16"/>
  <c r="J114" i="16"/>
  <c r="I115" i="16"/>
  <c r="J115" i="16"/>
  <c r="I112" i="16"/>
  <c r="J112" i="16"/>
  <c r="I27" i="20"/>
  <c r="J27" i="20"/>
  <c r="I108" i="16"/>
  <c r="J108" i="16"/>
  <c r="AB313" i="2"/>
  <c r="X147" i="16"/>
  <c r="AB112" i="2"/>
  <c r="X48" i="16"/>
  <c r="AB113" i="2"/>
  <c r="X49" i="16"/>
  <c r="I24" i="20"/>
  <c r="J24" i="20"/>
  <c r="I11" i="20"/>
  <c r="J11" i="20"/>
  <c r="I12" i="20"/>
  <c r="J12" i="20"/>
  <c r="I13" i="30"/>
  <c r="J13" i="30"/>
  <c r="I72" i="20"/>
  <c r="J72" i="20"/>
  <c r="I14" i="30"/>
  <c r="J14" i="30"/>
  <c r="Z31" i="20"/>
  <c r="Y30" i="20"/>
  <c r="Z30" i="20"/>
  <c r="Y31" i="20"/>
  <c r="Q313" i="2"/>
  <c r="Q335" i="2"/>
  <c r="Q112" i="2"/>
  <c r="Q113" i="2"/>
  <c r="Q334" i="2"/>
  <c r="Z66" i="20" l="1"/>
  <c r="I20" i="30"/>
  <c r="J20" i="30"/>
  <c r="I21" i="30"/>
  <c r="J21" i="30"/>
  <c r="G288" i="2"/>
  <c r="G289" i="2" l="1"/>
  <c r="G290" i="2" l="1"/>
  <c r="Z14" i="14"/>
  <c r="Z31" i="14"/>
  <c r="Z72" i="20"/>
  <c r="Z74" i="20" s="1"/>
  <c r="Z89" i="20" s="1"/>
  <c r="Z13" i="30"/>
  <c r="Z14" i="30"/>
  <c r="Z12" i="30"/>
  <c r="Z9" i="30"/>
  <c r="Z8" i="30"/>
  <c r="X333" i="2"/>
  <c r="X380" i="2" s="1"/>
  <c r="X305" i="2"/>
  <c r="X306" i="2"/>
  <c r="X307" i="2"/>
  <c r="X308" i="2"/>
  <c r="X309" i="2"/>
  <c r="X310" i="2"/>
  <c r="X312" i="2"/>
  <c r="X146" i="16" s="1"/>
  <c r="X296" i="2"/>
  <c r="X297" i="2"/>
  <c r="X298" i="2"/>
  <c r="X174" i="16" s="1"/>
  <c r="X299" i="2"/>
  <c r="X300" i="2"/>
  <c r="X301" i="2"/>
  <c r="X302" i="2"/>
  <c r="X303" i="2"/>
  <c r="X304" i="2"/>
  <c r="X293" i="2"/>
  <c r="X128" i="16" s="1"/>
  <c r="X294" i="2"/>
  <c r="X129" i="16" s="1"/>
  <c r="X295" i="2"/>
  <c r="X130" i="16" s="1"/>
  <c r="X285" i="2"/>
  <c r="X120" i="16" s="1"/>
  <c r="X286" i="2"/>
  <c r="X121" i="16" s="1"/>
  <c r="X287" i="2"/>
  <c r="X122" i="16" s="1"/>
  <c r="X288" i="2"/>
  <c r="X123" i="16" s="1"/>
  <c r="X289" i="2"/>
  <c r="X124" i="16" s="1"/>
  <c r="X290" i="2"/>
  <c r="X125" i="16" s="1"/>
  <c r="X291" i="2"/>
  <c r="X126" i="16" s="1"/>
  <c r="X292" i="2"/>
  <c r="X127" i="16" s="1"/>
  <c r="X284" i="2"/>
  <c r="X254" i="2"/>
  <c r="X255" i="2"/>
  <c r="X247" i="2"/>
  <c r="X248" i="2"/>
  <c r="X249" i="2"/>
  <c r="X250" i="2"/>
  <c r="X251" i="2"/>
  <c r="X252" i="2"/>
  <c r="X253" i="2"/>
  <c r="X246" i="2"/>
  <c r="X245" i="2"/>
  <c r="X244" i="2"/>
  <c r="X243" i="2"/>
  <c r="X236" i="2"/>
  <c r="X237" i="2"/>
  <c r="X238" i="2"/>
  <c r="X70" i="20" s="1"/>
  <c r="X239" i="2"/>
  <c r="X240" i="2"/>
  <c r="X71" i="20" s="1"/>
  <c r="X235" i="2"/>
  <c r="X80" i="20" s="1"/>
  <c r="X234" i="2"/>
  <c r="X23" i="20" s="1"/>
  <c r="X233" i="2"/>
  <c r="X228" i="2"/>
  <c r="X76" i="20" s="1"/>
  <c r="X77" i="20" s="1"/>
  <c r="X215" i="2"/>
  <c r="X81" i="18" s="1"/>
  <c r="X216" i="2"/>
  <c r="X92" i="16" s="1"/>
  <c r="X217" i="2"/>
  <c r="X90" i="16" s="1"/>
  <c r="X218" i="2"/>
  <c r="X91" i="16" s="1"/>
  <c r="X219" i="2"/>
  <c r="X93" i="16" s="1"/>
  <c r="X220" i="2"/>
  <c r="X211" i="2"/>
  <c r="X79" i="18" s="1"/>
  <c r="X212" i="2"/>
  <c r="X213" i="2"/>
  <c r="X80" i="18" s="1"/>
  <c r="X214" i="2"/>
  <c r="X89" i="16" s="1"/>
  <c r="X210" i="2"/>
  <c r="X209" i="2"/>
  <c r="X78" i="18" s="1"/>
  <c r="X208" i="2"/>
  <c r="X87" i="16" s="1"/>
  <c r="X207" i="2"/>
  <c r="X88" i="16" s="1"/>
  <c r="X206" i="2"/>
  <c r="X77" i="18" s="1"/>
  <c r="X205" i="2"/>
  <c r="X86" i="16" s="1"/>
  <c r="X204" i="2"/>
  <c r="X192" i="2"/>
  <c r="X83" i="20" s="1"/>
  <c r="X193" i="2"/>
  <c r="X194" i="2"/>
  <c r="X84" i="20" s="1"/>
  <c r="X188" i="2"/>
  <c r="X70" i="18" s="1"/>
  <c r="X189" i="2"/>
  <c r="X71" i="18" s="1"/>
  <c r="X190" i="2"/>
  <c r="X82" i="20" s="1"/>
  <c r="X191" i="2"/>
  <c r="X169" i="16" s="1"/>
  <c r="X187" i="2"/>
  <c r="X81" i="20" s="1"/>
  <c r="X186" i="2"/>
  <c r="X69" i="18" s="1"/>
  <c r="X185" i="2"/>
  <c r="X178" i="2"/>
  <c r="X65" i="18" s="1"/>
  <c r="X177" i="2"/>
  <c r="X64" i="18" s="1"/>
  <c r="X176" i="2"/>
  <c r="X22" i="16" s="1"/>
  <c r="X175" i="2"/>
  <c r="X167" i="2"/>
  <c r="X59" i="18" s="1"/>
  <c r="X168" i="2"/>
  <c r="X60" i="18" s="1"/>
  <c r="X169" i="2"/>
  <c r="X166" i="2"/>
  <c r="X101" i="16" s="1"/>
  <c r="X162" i="2"/>
  <c r="X118" i="16" s="1"/>
  <c r="X163" i="2"/>
  <c r="X119" i="16" s="1"/>
  <c r="X149" i="2"/>
  <c r="X52" i="18" s="1"/>
  <c r="X150" i="2"/>
  <c r="X110" i="16" s="1"/>
  <c r="X151" i="2"/>
  <c r="X111" i="16" s="1"/>
  <c r="X152" i="2"/>
  <c r="X112" i="16" s="1"/>
  <c r="X153" i="2"/>
  <c r="X53" i="18" s="1"/>
  <c r="X154" i="2"/>
  <c r="X113" i="16" s="1"/>
  <c r="X155" i="2"/>
  <c r="X54" i="18" s="1"/>
  <c r="X156" i="2"/>
  <c r="X55" i="18" s="1"/>
  <c r="X157" i="2"/>
  <c r="X114" i="16" s="1"/>
  <c r="X158" i="2"/>
  <c r="X116" i="16" s="1"/>
  <c r="X159" i="2"/>
  <c r="X115" i="16" s="1"/>
  <c r="X160" i="2"/>
  <c r="X117" i="16" s="1"/>
  <c r="X143" i="2"/>
  <c r="X50" i="18" s="1"/>
  <c r="X144" i="2"/>
  <c r="X108" i="16" s="1"/>
  <c r="X145" i="2"/>
  <c r="X51" i="18" s="1"/>
  <c r="X146" i="2"/>
  <c r="X28" i="20" s="1"/>
  <c r="X147" i="2"/>
  <c r="X109" i="16" s="1"/>
  <c r="X148" i="2"/>
  <c r="X27" i="20" s="1"/>
  <c r="X142" i="2"/>
  <c r="X49" i="18" s="1"/>
  <c r="X109" i="2"/>
  <c r="X110" i="2"/>
  <c r="X111" i="2"/>
  <c r="X67" i="16" s="1"/>
  <c r="X101" i="2"/>
  <c r="X102" i="2"/>
  <c r="X103" i="2"/>
  <c r="X104" i="2"/>
  <c r="X105" i="2"/>
  <c r="X106" i="2"/>
  <c r="X107" i="2"/>
  <c r="X108" i="2"/>
  <c r="X90" i="2"/>
  <c r="X65" i="16" s="1"/>
  <c r="X91" i="2"/>
  <c r="X66" i="16" s="1"/>
  <c r="X92" i="2"/>
  <c r="X93" i="2"/>
  <c r="X32" i="16" s="1"/>
  <c r="X94" i="2"/>
  <c r="X95" i="2"/>
  <c r="X32" i="30" s="1"/>
  <c r="X96" i="2"/>
  <c r="X97" i="2"/>
  <c r="X98" i="2"/>
  <c r="X99" i="2"/>
  <c r="X100" i="2"/>
  <c r="X78" i="2"/>
  <c r="X79" i="2"/>
  <c r="X27" i="30" s="1"/>
  <c r="X80" i="2"/>
  <c r="X29" i="16" s="1"/>
  <c r="X81" i="2"/>
  <c r="X28" i="30" s="1"/>
  <c r="X82" i="2"/>
  <c r="X62" i="16" s="1"/>
  <c r="X83" i="2"/>
  <c r="X63" i="16" s="1"/>
  <c r="X84" i="2"/>
  <c r="X29" i="30" s="1"/>
  <c r="X85" i="2"/>
  <c r="X64" i="16" s="1"/>
  <c r="X86" i="2"/>
  <c r="X30" i="16" s="1"/>
  <c r="X87" i="2"/>
  <c r="X30" i="30" s="1"/>
  <c r="X88" i="2"/>
  <c r="X31" i="30" s="1"/>
  <c r="X89" i="2"/>
  <c r="X73" i="2"/>
  <c r="X26" i="16" s="1"/>
  <c r="X74" i="2"/>
  <c r="X27" i="16" s="1"/>
  <c r="X75" i="2"/>
  <c r="X28" i="16" s="1"/>
  <c r="X76" i="2"/>
  <c r="X77" i="2"/>
  <c r="X66" i="2"/>
  <c r="X67" i="2"/>
  <c r="X68" i="2"/>
  <c r="X69" i="2"/>
  <c r="X25" i="16" s="1"/>
  <c r="X70" i="2"/>
  <c r="X71" i="2"/>
  <c r="X72" i="2"/>
  <c r="X59" i="2"/>
  <c r="X60" i="2"/>
  <c r="X61" i="2"/>
  <c r="X62" i="2"/>
  <c r="X63" i="2"/>
  <c r="X20" i="30" s="1"/>
  <c r="X64" i="2"/>
  <c r="X21" i="30" s="1"/>
  <c r="X65" i="2"/>
  <c r="X52" i="2"/>
  <c r="X53" i="2"/>
  <c r="X54" i="2"/>
  <c r="X55" i="2"/>
  <c r="X56" i="2"/>
  <c r="X57" i="2"/>
  <c r="X58" i="2"/>
  <c r="X44" i="2"/>
  <c r="X45" i="2"/>
  <c r="X46" i="2"/>
  <c r="X47" i="2"/>
  <c r="X49" i="2"/>
  <c r="X50" i="2"/>
  <c r="X18" i="30" s="1"/>
  <c r="X51" i="2"/>
  <c r="X26" i="30" s="1"/>
  <c r="X43" i="2"/>
  <c r="X29" i="18" s="1"/>
  <c r="X42" i="2"/>
  <c r="X39" i="2"/>
  <c r="X25" i="18" s="1"/>
  <c r="X38" i="2"/>
  <c r="X20" i="16" s="1"/>
  <c r="X37" i="2"/>
  <c r="X27" i="2"/>
  <c r="X28" i="2"/>
  <c r="X29" i="2"/>
  <c r="X15" i="16" s="1"/>
  <c r="X30" i="2"/>
  <c r="X26" i="2"/>
  <c r="X14" i="16" s="1"/>
  <c r="X25" i="2"/>
  <c r="X8" i="2"/>
  <c r="X10" i="2"/>
  <c r="X11" i="2"/>
  <c r="X12" i="2"/>
  <c r="X13" i="2"/>
  <c r="X14" i="2"/>
  <c r="X15" i="2"/>
  <c r="X16" i="2"/>
  <c r="X17" i="2"/>
  <c r="X8" i="16" s="1"/>
  <c r="X18" i="2"/>
  <c r="X19" i="2"/>
  <c r="X9" i="2"/>
  <c r="L163" i="2"/>
  <c r="Y163" i="2" s="1"/>
  <c r="Y119" i="16" s="1"/>
  <c r="M163" i="2"/>
  <c r="N163" i="2"/>
  <c r="O163" i="2"/>
  <c r="U100" i="16"/>
  <c r="F100" i="16"/>
  <c r="E100" i="16"/>
  <c r="D100" i="16"/>
  <c r="C100" i="16"/>
  <c r="L169" i="2"/>
  <c r="Y169" i="2" s="1"/>
  <c r="Y100" i="16" s="1"/>
  <c r="M169" i="2"/>
  <c r="N169" i="2"/>
  <c r="O169" i="2"/>
  <c r="H100" i="16"/>
  <c r="C45" i="16"/>
  <c r="D45" i="16"/>
  <c r="E45" i="16"/>
  <c r="F45" i="16"/>
  <c r="U45" i="16"/>
  <c r="C46" i="16"/>
  <c r="D46" i="16"/>
  <c r="E46" i="16"/>
  <c r="F46" i="16"/>
  <c r="U46" i="16"/>
  <c r="C47" i="16"/>
  <c r="D47" i="16"/>
  <c r="E47" i="16"/>
  <c r="F47" i="16"/>
  <c r="U47" i="16"/>
  <c r="L109" i="2"/>
  <c r="Y109" i="2" s="1"/>
  <c r="Y46" i="16" s="1"/>
  <c r="M109" i="2"/>
  <c r="N109" i="2"/>
  <c r="O109" i="2"/>
  <c r="L110" i="2"/>
  <c r="Y110" i="2" s="1"/>
  <c r="Y47" i="16" s="1"/>
  <c r="M110" i="2"/>
  <c r="N110" i="2"/>
  <c r="O110" i="2"/>
  <c r="L111" i="2"/>
  <c r="Y111" i="2" s="1"/>
  <c r="Y67" i="16" s="1"/>
  <c r="M111" i="2"/>
  <c r="N111" i="2"/>
  <c r="O111" i="2"/>
  <c r="H45" i="16"/>
  <c r="H46" i="16"/>
  <c r="H47" i="16"/>
  <c r="G10" i="2"/>
  <c r="G9" i="2"/>
  <c r="G8" i="2"/>
  <c r="L108" i="2"/>
  <c r="Y108" i="2" s="1"/>
  <c r="Y12" i="30" s="1"/>
  <c r="M108" i="2"/>
  <c r="N108" i="2"/>
  <c r="O108" i="2"/>
  <c r="C144" i="16"/>
  <c r="D144" i="16"/>
  <c r="E144" i="16"/>
  <c r="F144" i="16"/>
  <c r="U144" i="16"/>
  <c r="O333" i="2"/>
  <c r="O380" i="2" s="1"/>
  <c r="N333" i="2"/>
  <c r="N380" i="2" s="1"/>
  <c r="M333" i="2"/>
  <c r="M380" i="2" s="1"/>
  <c r="L333" i="2"/>
  <c r="L380" i="2" s="1"/>
  <c r="X76" i="18" l="1"/>
  <c r="X83" i="18" s="1"/>
  <c r="X226" i="2"/>
  <c r="X140" i="2"/>
  <c r="D126" i="26"/>
  <c r="E126" i="26"/>
  <c r="C126" i="26"/>
  <c r="X331" i="2"/>
  <c r="AB119" i="16"/>
  <c r="Y333" i="2"/>
  <c r="Y380" i="2" s="1"/>
  <c r="AB67" i="16"/>
  <c r="X282" i="2"/>
  <c r="X57" i="18"/>
  <c r="X61" i="18"/>
  <c r="X68" i="18"/>
  <c r="X202" i="2"/>
  <c r="X28" i="18"/>
  <c r="X36" i="18"/>
  <c r="X32" i="18"/>
  <c r="X33" i="18"/>
  <c r="X38" i="18"/>
  <c r="X35" i="18"/>
  <c r="X23" i="16"/>
  <c r="X39" i="18"/>
  <c r="X19" i="30"/>
  <c r="X22" i="30"/>
  <c r="X23" i="30"/>
  <c r="X24" i="30"/>
  <c r="X43" i="18"/>
  <c r="X41" i="18"/>
  <c r="X30" i="18"/>
  <c r="X54" i="16"/>
  <c r="X34" i="18"/>
  <c r="X40" i="18"/>
  <c r="X59" i="16"/>
  <c r="X61" i="16"/>
  <c r="X60" i="16"/>
  <c r="X171" i="16"/>
  <c r="X44" i="18"/>
  <c r="X37" i="18"/>
  <c r="X56" i="16"/>
  <c r="X58" i="16"/>
  <c r="X55" i="16"/>
  <c r="X42" i="18"/>
  <c r="X57" i="16"/>
  <c r="X178" i="16"/>
  <c r="X31" i="18"/>
  <c r="X13" i="14"/>
  <c r="X107" i="16"/>
  <c r="X29" i="20"/>
  <c r="X63" i="18"/>
  <c r="X66" i="18" s="1"/>
  <c r="X183" i="2"/>
  <c r="X38" i="16"/>
  <c r="X43" i="16"/>
  <c r="AB110" i="2"/>
  <c r="X47" i="16"/>
  <c r="AB163" i="2"/>
  <c r="X137" i="16"/>
  <c r="X131" i="16"/>
  <c r="X140" i="16"/>
  <c r="X37" i="16"/>
  <c r="X42" i="16"/>
  <c r="AB109" i="2"/>
  <c r="X46" i="16"/>
  <c r="X136" i="16"/>
  <c r="X139" i="16"/>
  <c r="X36" i="16"/>
  <c r="X41" i="16"/>
  <c r="X135" i="16"/>
  <c r="X31" i="16"/>
  <c r="X35" i="16"/>
  <c r="X40" i="16"/>
  <c r="X24" i="18"/>
  <c r="X26" i="18" s="1"/>
  <c r="X34" i="16"/>
  <c r="X39" i="16"/>
  <c r="X94" i="16"/>
  <c r="X98" i="16" s="1"/>
  <c r="X134" i="16"/>
  <c r="X144" i="16"/>
  <c r="X23" i="2"/>
  <c r="X40" i="2" s="1"/>
  <c r="X133" i="16"/>
  <c r="X143" i="16"/>
  <c r="X45" i="16"/>
  <c r="X142" i="16"/>
  <c r="X33" i="16"/>
  <c r="X44" i="16"/>
  <c r="AB111" i="2"/>
  <c r="AB169" i="2"/>
  <c r="X100" i="16"/>
  <c r="X72" i="18"/>
  <c r="X138" i="16"/>
  <c r="X132" i="16"/>
  <c r="X141" i="16"/>
  <c r="X35" i="2"/>
  <c r="X14" i="30"/>
  <c r="X12" i="20"/>
  <c r="X12" i="30"/>
  <c r="AB12" i="30" s="1"/>
  <c r="AB108" i="2"/>
  <c r="X9" i="30"/>
  <c r="X72" i="20"/>
  <c r="X11" i="20"/>
  <c r="X13" i="30"/>
  <c r="X24" i="20"/>
  <c r="X8" i="30"/>
  <c r="X14" i="14"/>
  <c r="Z15" i="30"/>
  <c r="Z10" i="30"/>
  <c r="Z11" i="16"/>
  <c r="U105" i="16"/>
  <c r="G245" i="2"/>
  <c r="Q108" i="2"/>
  <c r="Q169" i="2"/>
  <c r="Q163" i="2"/>
  <c r="Q111" i="2"/>
  <c r="Q109" i="2"/>
  <c r="Q110" i="2"/>
  <c r="Q333" i="2"/>
  <c r="Q380" i="2" s="1"/>
  <c r="AB333" i="2" l="1"/>
  <c r="AB380" i="2" s="1"/>
  <c r="X21" i="20"/>
  <c r="X47" i="18"/>
  <c r="Z38" i="30"/>
  <c r="R12" i="23" s="1"/>
  <c r="X84" i="16"/>
  <c r="X165" i="16"/>
  <c r="Y29" i="20"/>
  <c r="AB29" i="20" s="1"/>
  <c r="X74" i="18"/>
  <c r="X36" i="30"/>
  <c r="X25" i="20"/>
  <c r="X10" i="30"/>
  <c r="X15" i="30"/>
  <c r="Z105" i="16"/>
  <c r="G78" i="2"/>
  <c r="G23" i="30" s="1"/>
  <c r="X38" i="30" l="1"/>
  <c r="P12" i="23" s="1"/>
  <c r="I23" i="30"/>
  <c r="J23" i="30"/>
  <c r="X164" i="2"/>
  <c r="X173" i="2" l="1"/>
  <c r="G79" i="2"/>
  <c r="G27" i="30" s="1"/>
  <c r="I27" i="30" l="1"/>
  <c r="J27" i="30"/>
  <c r="G291" i="2"/>
  <c r="G80" i="2" l="1"/>
  <c r="X231" i="2" l="1"/>
  <c r="G292" i="2"/>
  <c r="L310" i="2"/>
  <c r="Y310" i="2" s="1"/>
  <c r="M310" i="2"/>
  <c r="N310" i="2"/>
  <c r="O310" i="2"/>
  <c r="L312" i="2"/>
  <c r="Y312" i="2" s="1"/>
  <c r="M312" i="2"/>
  <c r="N312" i="2"/>
  <c r="O312" i="2"/>
  <c r="Y146" i="16" l="1"/>
  <c r="AB146" i="16" s="1"/>
  <c r="AB312" i="2"/>
  <c r="Y144" i="16"/>
  <c r="AB310" i="2"/>
  <c r="X241" i="2"/>
  <c r="X382" i="2" s="1"/>
  <c r="Q312" i="2"/>
  <c r="Q310" i="2"/>
  <c r="H144" i="16"/>
  <c r="G246" i="2" l="1"/>
  <c r="G81" i="2" l="1"/>
  <c r="G28" i="30" s="1"/>
  <c r="I28" i="30" l="1"/>
  <c r="J28" i="30"/>
  <c r="G82" i="2"/>
  <c r="G62" i="16" s="1"/>
  <c r="I62" i="16" l="1"/>
  <c r="J62" i="16"/>
  <c r="G83" i="2"/>
  <c r="G63" i="16" s="1"/>
  <c r="I63" i="16" l="1"/>
  <c r="J63" i="16"/>
  <c r="G84" i="2"/>
  <c r="G29" i="30" s="1"/>
  <c r="I29" i="30" l="1"/>
  <c r="J29" i="30"/>
  <c r="G85" i="2" l="1"/>
  <c r="G64" i="16" s="1"/>
  <c r="C94" i="16"/>
  <c r="D94" i="16"/>
  <c r="E94" i="16"/>
  <c r="F94" i="16"/>
  <c r="U94" i="16"/>
  <c r="L220" i="2"/>
  <c r="Y220" i="2" s="1"/>
  <c r="M220" i="2"/>
  <c r="N220" i="2"/>
  <c r="O220" i="2"/>
  <c r="H94" i="16"/>
  <c r="C43" i="16"/>
  <c r="D43" i="16"/>
  <c r="E43" i="16"/>
  <c r="F43" i="16"/>
  <c r="U43" i="16"/>
  <c r="C44" i="16"/>
  <c r="D44" i="16"/>
  <c r="E44" i="16"/>
  <c r="F44" i="16"/>
  <c r="U44" i="16"/>
  <c r="L105" i="2"/>
  <c r="Y105" i="2" s="1"/>
  <c r="M105" i="2"/>
  <c r="N105" i="2"/>
  <c r="O105" i="2"/>
  <c r="L106" i="2"/>
  <c r="Y106" i="2" s="1"/>
  <c r="M106" i="2"/>
  <c r="N106" i="2"/>
  <c r="O106" i="2"/>
  <c r="L107" i="2"/>
  <c r="Y107" i="2" s="1"/>
  <c r="M107" i="2"/>
  <c r="N107" i="2"/>
  <c r="O107" i="2"/>
  <c r="H43" i="16"/>
  <c r="H44" i="16"/>
  <c r="C142" i="16"/>
  <c r="D142" i="16"/>
  <c r="E142" i="16"/>
  <c r="F142" i="16"/>
  <c r="U142" i="16"/>
  <c r="C143" i="16"/>
  <c r="C125" i="26" s="1"/>
  <c r="D143" i="16"/>
  <c r="D125" i="26" s="1"/>
  <c r="E143" i="16"/>
  <c r="E125" i="26" s="1"/>
  <c r="F143" i="16"/>
  <c r="U143" i="16"/>
  <c r="L309" i="2"/>
  <c r="M309" i="2"/>
  <c r="N309" i="2"/>
  <c r="O309" i="2"/>
  <c r="L308" i="2"/>
  <c r="M308" i="2"/>
  <c r="N308" i="2"/>
  <c r="O308" i="2"/>
  <c r="D87" i="26" l="1"/>
  <c r="C87" i="26"/>
  <c r="C124" i="26"/>
  <c r="D124" i="26"/>
  <c r="E87" i="26"/>
  <c r="E124" i="26"/>
  <c r="Y309" i="2"/>
  <c r="AB309" i="2" s="1"/>
  <c r="Q309" i="2"/>
  <c r="Y308" i="2"/>
  <c r="AB308" i="2" s="1"/>
  <c r="Q308" i="2"/>
  <c r="Y142" i="16"/>
  <c r="Y94" i="16"/>
  <c r="AB220" i="2"/>
  <c r="Y45" i="16"/>
  <c r="AB107" i="2"/>
  <c r="Y43" i="16"/>
  <c r="AB105" i="2"/>
  <c r="Y44" i="16"/>
  <c r="AB106" i="2"/>
  <c r="I64" i="16"/>
  <c r="J64" i="16"/>
  <c r="G86" i="2"/>
  <c r="Q106" i="2"/>
  <c r="Q105" i="2"/>
  <c r="Q220" i="2"/>
  <c r="Q107" i="2"/>
  <c r="H142" i="16"/>
  <c r="H143" i="16"/>
  <c r="Y143" i="16" l="1"/>
  <c r="G293" i="2"/>
  <c r="G93" i="2" l="1"/>
  <c r="P10" i="14"/>
  <c r="F81" i="18"/>
  <c r="E81" i="18"/>
  <c r="E61" i="17" s="1"/>
  <c r="C81" i="18"/>
  <c r="C61" i="17" s="1"/>
  <c r="F80" i="18"/>
  <c r="E80" i="18"/>
  <c r="E60" i="17" s="1"/>
  <c r="C80" i="18"/>
  <c r="C60" i="17" s="1"/>
  <c r="F79" i="18"/>
  <c r="E79" i="18"/>
  <c r="C79" i="18"/>
  <c r="F78" i="18"/>
  <c r="E78" i="18"/>
  <c r="C78" i="18"/>
  <c r="F77" i="18"/>
  <c r="E77" i="18"/>
  <c r="C77" i="18"/>
  <c r="F76" i="18"/>
  <c r="E76" i="18"/>
  <c r="C76" i="18"/>
  <c r="F72" i="18"/>
  <c r="E72" i="18"/>
  <c r="D72" i="18"/>
  <c r="C72" i="18"/>
  <c r="F71" i="18"/>
  <c r="E71" i="18"/>
  <c r="C71" i="18"/>
  <c r="F70" i="18"/>
  <c r="E70" i="18"/>
  <c r="C70" i="18"/>
  <c r="F69" i="18"/>
  <c r="E69" i="18"/>
  <c r="C69" i="18"/>
  <c r="F68" i="18"/>
  <c r="E68" i="18"/>
  <c r="C68" i="18"/>
  <c r="F65" i="18"/>
  <c r="E65" i="18"/>
  <c r="D65" i="18"/>
  <c r="C65" i="18"/>
  <c r="F64" i="18"/>
  <c r="E64" i="18"/>
  <c r="C64" i="18"/>
  <c r="F63" i="18"/>
  <c r="E63" i="18"/>
  <c r="C63" i="18"/>
  <c r="F60" i="18"/>
  <c r="E60" i="18"/>
  <c r="C60" i="18"/>
  <c r="F59" i="18"/>
  <c r="E59" i="18"/>
  <c r="C59" i="18"/>
  <c r="C56" i="18"/>
  <c r="E56" i="18"/>
  <c r="F56" i="18"/>
  <c r="F55" i="18"/>
  <c r="E55" i="18"/>
  <c r="C55" i="18"/>
  <c r="F54" i="18"/>
  <c r="E54" i="18"/>
  <c r="C54" i="18"/>
  <c r="F53" i="18"/>
  <c r="E53" i="18"/>
  <c r="C53" i="18"/>
  <c r="F52" i="18"/>
  <c r="E52" i="18"/>
  <c r="C52" i="18"/>
  <c r="F51" i="18"/>
  <c r="E51" i="18"/>
  <c r="C51" i="18"/>
  <c r="F50" i="18"/>
  <c r="E50" i="18"/>
  <c r="E37" i="17" s="1"/>
  <c r="C50" i="18"/>
  <c r="C37" i="17" s="1"/>
  <c r="F49" i="18"/>
  <c r="E49" i="18"/>
  <c r="C49" i="18"/>
  <c r="F44" i="18"/>
  <c r="E44" i="18"/>
  <c r="C44" i="18"/>
  <c r="F43" i="18"/>
  <c r="E43" i="18"/>
  <c r="C43" i="18"/>
  <c r="F42" i="18"/>
  <c r="E42" i="18"/>
  <c r="C42" i="18"/>
  <c r="F41" i="18"/>
  <c r="E41" i="18"/>
  <c r="C41" i="18"/>
  <c r="F40" i="18"/>
  <c r="E40" i="18"/>
  <c r="C40" i="18"/>
  <c r="F39" i="18"/>
  <c r="E39" i="18"/>
  <c r="C39" i="18"/>
  <c r="F38" i="18"/>
  <c r="E38" i="18"/>
  <c r="C38" i="18"/>
  <c r="F37" i="18"/>
  <c r="E37" i="18"/>
  <c r="C37" i="18"/>
  <c r="F36" i="18"/>
  <c r="E36" i="18"/>
  <c r="C36" i="18"/>
  <c r="F35" i="18"/>
  <c r="E35" i="18"/>
  <c r="C35" i="18"/>
  <c r="F34" i="18"/>
  <c r="E34" i="18"/>
  <c r="C34" i="18"/>
  <c r="F33" i="18"/>
  <c r="E33" i="18"/>
  <c r="C33" i="18"/>
  <c r="F32" i="18"/>
  <c r="E32" i="18"/>
  <c r="C32" i="18"/>
  <c r="F31" i="18"/>
  <c r="E31" i="18"/>
  <c r="C31" i="18"/>
  <c r="F30" i="18"/>
  <c r="E30" i="18"/>
  <c r="C30" i="18"/>
  <c r="F29" i="18"/>
  <c r="E29" i="18"/>
  <c r="E20" i="17" s="1"/>
  <c r="C29" i="18"/>
  <c r="C20" i="17" s="1"/>
  <c r="F28" i="18"/>
  <c r="E28" i="18"/>
  <c r="E19" i="17" s="1"/>
  <c r="C28" i="18"/>
  <c r="C19" i="17" s="1"/>
  <c r="F25" i="18"/>
  <c r="E25" i="18"/>
  <c r="E18" i="17" s="1"/>
  <c r="D25" i="18"/>
  <c r="D18" i="17" s="1"/>
  <c r="C25" i="18"/>
  <c r="C18" i="17" s="1"/>
  <c r="E24" i="18"/>
  <c r="E17" i="17" s="1"/>
  <c r="C24" i="18"/>
  <c r="C17" i="17" s="1"/>
  <c r="F21" i="18"/>
  <c r="E21" i="18"/>
  <c r="E16" i="17" s="1"/>
  <c r="D21" i="18"/>
  <c r="D16" i="17" s="1"/>
  <c r="C21" i="18"/>
  <c r="C16" i="17" s="1"/>
  <c r="C20" i="18"/>
  <c r="C15" i="17" s="1"/>
  <c r="E20" i="18"/>
  <c r="E15" i="17" s="1"/>
  <c r="F20" i="18"/>
  <c r="F19" i="18"/>
  <c r="E19" i="18"/>
  <c r="E14" i="17" s="1"/>
  <c r="C19" i="18"/>
  <c r="C14" i="17" s="1"/>
  <c r="F18" i="18"/>
  <c r="E18" i="18"/>
  <c r="E13" i="17" s="1"/>
  <c r="C18" i="18"/>
  <c r="C13" i="17" s="1"/>
  <c r="F17" i="18"/>
  <c r="E17" i="18"/>
  <c r="E12" i="17" s="1"/>
  <c r="C17" i="18"/>
  <c r="C12" i="17" s="1"/>
  <c r="F11" i="18"/>
  <c r="C12" i="18"/>
  <c r="C9" i="17" s="1"/>
  <c r="E12" i="18"/>
  <c r="E9" i="17" s="1"/>
  <c r="F12" i="18"/>
  <c r="C13" i="18"/>
  <c r="C10" i="17" s="1"/>
  <c r="E13" i="18"/>
  <c r="E10" i="17" s="1"/>
  <c r="F13" i="18"/>
  <c r="C14" i="18"/>
  <c r="C11" i="17" s="1"/>
  <c r="D14" i="18"/>
  <c r="D11" i="17" s="1"/>
  <c r="E14" i="18"/>
  <c r="E11" i="17" s="1"/>
  <c r="F14" i="18"/>
  <c r="E11" i="18"/>
  <c r="E8" i="17" s="1"/>
  <c r="C11" i="18"/>
  <c r="C8" i="17" s="1"/>
  <c r="F10" i="18"/>
  <c r="E10" i="18"/>
  <c r="E7" i="17" s="1"/>
  <c r="C10" i="18"/>
  <c r="C7" i="17" s="1"/>
  <c r="G9" i="18"/>
  <c r="F9" i="18"/>
  <c r="E9" i="18"/>
  <c r="E6" i="17" s="1"/>
  <c r="C9" i="18"/>
  <c r="C6" i="17" s="1"/>
  <c r="G8" i="18"/>
  <c r="F8" i="18"/>
  <c r="E8" i="18"/>
  <c r="E5" i="17" s="1"/>
  <c r="C8" i="18"/>
  <c r="C5" i="17" s="1"/>
  <c r="C49" i="17" l="1"/>
  <c r="C56" i="17"/>
  <c r="C59" i="17"/>
  <c r="C42" i="17"/>
  <c r="E56" i="17"/>
  <c r="E59" i="17"/>
  <c r="E42" i="17"/>
  <c r="C38" i="17"/>
  <c r="E43" i="17"/>
  <c r="C45" i="17"/>
  <c r="C40" i="17"/>
  <c r="C46" i="17"/>
  <c r="E48" i="17"/>
  <c r="E53" i="17"/>
  <c r="E46" i="17"/>
  <c r="E47" i="17"/>
  <c r="E38" i="17"/>
  <c r="E39" i="17"/>
  <c r="C41" i="17"/>
  <c r="E50" i="17"/>
  <c r="C51" i="17"/>
  <c r="E40" i="17"/>
  <c r="C48" i="17"/>
  <c r="C54" i="17"/>
  <c r="C57" i="17"/>
  <c r="C39" i="17"/>
  <c r="E45" i="17"/>
  <c r="E54" i="17"/>
  <c r="E57" i="17"/>
  <c r="E41" i="17"/>
  <c r="E51" i="17"/>
  <c r="C55" i="17"/>
  <c r="C58" i="17"/>
  <c r="E55" i="17"/>
  <c r="E58" i="17"/>
  <c r="C44" i="17"/>
  <c r="C52" i="17"/>
  <c r="E44" i="17"/>
  <c r="E49" i="17"/>
  <c r="C43" i="17"/>
  <c r="C47" i="17"/>
  <c r="C50" i="17"/>
  <c r="E52" i="17"/>
  <c r="C53" i="17"/>
  <c r="C25" i="17"/>
  <c r="E26" i="17"/>
  <c r="C22" i="17"/>
  <c r="E24" i="17"/>
  <c r="E22" i="17"/>
  <c r="C21" i="17"/>
  <c r="E23" i="17"/>
  <c r="C26" i="17"/>
  <c r="E25" i="17"/>
  <c r="C24" i="17"/>
  <c r="E21" i="17"/>
  <c r="C23" i="17"/>
  <c r="E30" i="17"/>
  <c r="C30" i="17"/>
  <c r="E32" i="17"/>
  <c r="E35" i="17"/>
  <c r="E28" i="17"/>
  <c r="E31" i="17"/>
  <c r="E33" i="17"/>
  <c r="E34" i="17"/>
  <c r="C27" i="17"/>
  <c r="E27" i="17"/>
  <c r="C28" i="17"/>
  <c r="C32" i="17"/>
  <c r="C35" i="17"/>
  <c r="C36" i="17"/>
  <c r="E36" i="17"/>
  <c r="C29" i="17"/>
  <c r="E29" i="17"/>
  <c r="C31" i="17"/>
  <c r="C33" i="17"/>
  <c r="C34" i="17"/>
  <c r="G294" i="2"/>
  <c r="G247" i="2" l="1"/>
  <c r="G219" i="2" l="1"/>
  <c r="L19" i="2"/>
  <c r="Y19" i="2" s="1"/>
  <c r="M19" i="2"/>
  <c r="N19" i="2"/>
  <c r="O19" i="2"/>
  <c r="U65" i="18"/>
  <c r="U64" i="18"/>
  <c r="U63" i="18"/>
  <c r="O179" i="2"/>
  <c r="N179" i="2"/>
  <c r="M179" i="2"/>
  <c r="L179" i="2"/>
  <c r="Y179" i="2" s="1"/>
  <c r="Y173" i="16" s="1"/>
  <c r="O178" i="2"/>
  <c r="N178" i="2"/>
  <c r="M178" i="2"/>
  <c r="L178" i="2"/>
  <c r="Y178" i="2" s="1"/>
  <c r="H65" i="18"/>
  <c r="O177" i="2"/>
  <c r="N177" i="2"/>
  <c r="M177" i="2"/>
  <c r="L177" i="2"/>
  <c r="Y177" i="2" s="1"/>
  <c r="H64" i="18"/>
  <c r="D177" i="2"/>
  <c r="D64" i="18" s="1"/>
  <c r="O176" i="2"/>
  <c r="N176" i="2"/>
  <c r="M176" i="2"/>
  <c r="L176" i="2"/>
  <c r="Y176" i="2" s="1"/>
  <c r="Y22" i="16" s="1"/>
  <c r="D176" i="2"/>
  <c r="O175" i="2"/>
  <c r="N175" i="2"/>
  <c r="M175" i="2"/>
  <c r="L175" i="2"/>
  <c r="H63" i="18"/>
  <c r="D175" i="2"/>
  <c r="D63" i="18" s="1"/>
  <c r="U72" i="18"/>
  <c r="M193" i="2"/>
  <c r="N193" i="2"/>
  <c r="O193" i="2"/>
  <c r="L193" i="2"/>
  <c r="Y193" i="2" s="1"/>
  <c r="H72" i="18"/>
  <c r="U38" i="16"/>
  <c r="U39" i="16"/>
  <c r="U40" i="16"/>
  <c r="U41" i="16"/>
  <c r="U42" i="16"/>
  <c r="F33" i="16"/>
  <c r="F34" i="16"/>
  <c r="F35" i="16"/>
  <c r="F36" i="16"/>
  <c r="F37" i="16"/>
  <c r="F38" i="16"/>
  <c r="F39" i="16"/>
  <c r="F40" i="16"/>
  <c r="F41" i="16"/>
  <c r="F42" i="16"/>
  <c r="E34" i="16"/>
  <c r="E35" i="16"/>
  <c r="E36" i="16"/>
  <c r="E37" i="16"/>
  <c r="E38" i="16"/>
  <c r="E39" i="16"/>
  <c r="E40" i="16"/>
  <c r="E41" i="16"/>
  <c r="E42" i="16"/>
  <c r="E36" i="26" s="1"/>
  <c r="D34" i="16"/>
  <c r="D35" i="16"/>
  <c r="D36" i="16"/>
  <c r="D37" i="16"/>
  <c r="D38" i="16"/>
  <c r="D39" i="16"/>
  <c r="D40" i="16"/>
  <c r="D41" i="16"/>
  <c r="D42" i="16"/>
  <c r="D36" i="26" s="1"/>
  <c r="C42" i="16"/>
  <c r="C36" i="26" s="1"/>
  <c r="C41" i="16"/>
  <c r="C40" i="16"/>
  <c r="C39" i="16"/>
  <c r="C38" i="16"/>
  <c r="C37" i="16"/>
  <c r="C36" i="16"/>
  <c r="C35" i="16"/>
  <c r="C34" i="16"/>
  <c r="L99" i="2"/>
  <c r="Y99" i="2" s="1"/>
  <c r="M99" i="2"/>
  <c r="N99" i="2"/>
  <c r="O99" i="2"/>
  <c r="L100" i="2"/>
  <c r="Y100" i="2" s="1"/>
  <c r="M100" i="2"/>
  <c r="N100" i="2"/>
  <c r="O100" i="2"/>
  <c r="L101" i="2"/>
  <c r="Y101" i="2" s="1"/>
  <c r="M101" i="2"/>
  <c r="N101" i="2"/>
  <c r="O101" i="2"/>
  <c r="L102" i="2"/>
  <c r="Y102" i="2" s="1"/>
  <c r="M102" i="2"/>
  <c r="N102" i="2"/>
  <c r="O102" i="2"/>
  <c r="L103" i="2"/>
  <c r="Y103" i="2" s="1"/>
  <c r="M103" i="2"/>
  <c r="N103" i="2"/>
  <c r="O103" i="2"/>
  <c r="L104" i="2"/>
  <c r="Y104" i="2" s="1"/>
  <c r="M104" i="2"/>
  <c r="N104" i="2"/>
  <c r="O104" i="2"/>
  <c r="H37" i="16"/>
  <c r="H38" i="16"/>
  <c r="H39" i="16"/>
  <c r="H40" i="16"/>
  <c r="H41" i="16"/>
  <c r="H42" i="16"/>
  <c r="U26" i="14"/>
  <c r="U27" i="14"/>
  <c r="Z27" i="14"/>
  <c r="U28" i="14"/>
  <c r="Z28" i="14"/>
  <c r="U19" i="14"/>
  <c r="Z19" i="14"/>
  <c r="U29" i="14"/>
  <c r="Z29" i="14"/>
  <c r="U30" i="14"/>
  <c r="Z30" i="14"/>
  <c r="U31" i="14"/>
  <c r="F25" i="14"/>
  <c r="F26" i="14"/>
  <c r="F28" i="14"/>
  <c r="F19" i="14"/>
  <c r="F29" i="14"/>
  <c r="F30" i="14"/>
  <c r="F31" i="14"/>
  <c r="E26" i="14"/>
  <c r="E27" i="14"/>
  <c r="E19" i="14"/>
  <c r="D26" i="14"/>
  <c r="D27" i="14"/>
  <c r="D28" i="14"/>
  <c r="D167" i="26" s="1"/>
  <c r="D19" i="14"/>
  <c r="D29" i="14"/>
  <c r="D168" i="26" s="1"/>
  <c r="D30" i="14"/>
  <c r="D169" i="26" s="1"/>
  <c r="D31" i="14"/>
  <c r="D170" i="26" s="1"/>
  <c r="D25" i="14"/>
  <c r="C25" i="14"/>
  <c r="C26" i="14"/>
  <c r="C27" i="14"/>
  <c r="C28" i="14"/>
  <c r="C167" i="26" s="1"/>
  <c r="C19" i="14"/>
  <c r="C29" i="14"/>
  <c r="C168" i="26" s="1"/>
  <c r="C30" i="14"/>
  <c r="C169" i="26" s="1"/>
  <c r="C31" i="14"/>
  <c r="C170" i="26" s="1"/>
  <c r="E25" i="14"/>
  <c r="U25" i="14"/>
  <c r="L255" i="2"/>
  <c r="Y255" i="2" s="1"/>
  <c r="AB255" i="2" s="1"/>
  <c r="M255" i="2"/>
  <c r="N255" i="2"/>
  <c r="O255" i="2"/>
  <c r="H31" i="14"/>
  <c r="C132" i="16"/>
  <c r="D132" i="16"/>
  <c r="E132" i="16"/>
  <c r="F132" i="16"/>
  <c r="U132" i="16"/>
  <c r="C133" i="16"/>
  <c r="D133" i="16"/>
  <c r="E133" i="16"/>
  <c r="F133" i="16"/>
  <c r="U133" i="16"/>
  <c r="C134" i="16"/>
  <c r="D134" i="16"/>
  <c r="E134" i="16"/>
  <c r="F134" i="16"/>
  <c r="U134" i="16"/>
  <c r="C135" i="16"/>
  <c r="D135" i="16"/>
  <c r="E135" i="16"/>
  <c r="F135" i="16"/>
  <c r="U135" i="16"/>
  <c r="C136" i="16"/>
  <c r="D136" i="16"/>
  <c r="E136" i="16"/>
  <c r="F136" i="16"/>
  <c r="U136" i="16"/>
  <c r="C137" i="16"/>
  <c r="D137" i="16"/>
  <c r="E137" i="16"/>
  <c r="F137" i="16"/>
  <c r="U137" i="16"/>
  <c r="C138" i="16"/>
  <c r="D138" i="16"/>
  <c r="E138" i="16"/>
  <c r="F138" i="16"/>
  <c r="U138" i="16"/>
  <c r="C139" i="16"/>
  <c r="D139" i="16"/>
  <c r="E139" i="16"/>
  <c r="F139" i="16"/>
  <c r="U139" i="16"/>
  <c r="C140" i="16"/>
  <c r="D140" i="16"/>
  <c r="E140" i="16"/>
  <c r="F140" i="16"/>
  <c r="U140" i="16"/>
  <c r="C141" i="16"/>
  <c r="D141" i="16"/>
  <c r="E141" i="16"/>
  <c r="F141" i="16"/>
  <c r="U141" i="16"/>
  <c r="U131" i="16"/>
  <c r="F131" i="16"/>
  <c r="E131" i="16"/>
  <c r="D131" i="16"/>
  <c r="C131" i="16"/>
  <c r="C122" i="16"/>
  <c r="C121" i="16"/>
  <c r="C120" i="16"/>
  <c r="C107" i="16"/>
  <c r="L296" i="2"/>
  <c r="M296" i="2"/>
  <c r="N296" i="2"/>
  <c r="O296" i="2"/>
  <c r="L297" i="2"/>
  <c r="M297" i="2"/>
  <c r="N297" i="2"/>
  <c r="O297" i="2"/>
  <c r="L298" i="2"/>
  <c r="Y298" i="2" s="1"/>
  <c r="Y174" i="16" s="1"/>
  <c r="AB174" i="16" s="1"/>
  <c r="M298" i="2"/>
  <c r="N298" i="2"/>
  <c r="O298" i="2"/>
  <c r="L299" i="2"/>
  <c r="M299" i="2"/>
  <c r="N299" i="2"/>
  <c r="O299" i="2"/>
  <c r="L300" i="2"/>
  <c r="Y300" i="2" s="1"/>
  <c r="M300" i="2"/>
  <c r="N300" i="2"/>
  <c r="O300" i="2"/>
  <c r="L301" i="2"/>
  <c r="M301" i="2"/>
  <c r="N301" i="2"/>
  <c r="O301" i="2"/>
  <c r="L302" i="2"/>
  <c r="M302" i="2"/>
  <c r="N302" i="2"/>
  <c r="O302" i="2"/>
  <c r="L303" i="2"/>
  <c r="M303" i="2"/>
  <c r="N303" i="2"/>
  <c r="O303" i="2"/>
  <c r="L304" i="2"/>
  <c r="M304" i="2"/>
  <c r="N304" i="2"/>
  <c r="O304" i="2"/>
  <c r="L305" i="2"/>
  <c r="M305" i="2"/>
  <c r="N305" i="2"/>
  <c r="O305" i="2"/>
  <c r="L306" i="2"/>
  <c r="M306" i="2"/>
  <c r="N306" i="2"/>
  <c r="O306" i="2"/>
  <c r="L307" i="2"/>
  <c r="M307" i="2"/>
  <c r="N307" i="2"/>
  <c r="O307" i="2"/>
  <c r="H133" i="16"/>
  <c r="H135" i="16"/>
  <c r="H136" i="16"/>
  <c r="H138" i="16"/>
  <c r="H141" i="16"/>
  <c r="G10" i="18"/>
  <c r="C101" i="26" l="1"/>
  <c r="C100" i="26"/>
  <c r="C121" i="26"/>
  <c r="D115" i="26"/>
  <c r="C117" i="26"/>
  <c r="E115" i="26"/>
  <c r="D117" i="26"/>
  <c r="D121" i="26"/>
  <c r="E121" i="26"/>
  <c r="C115" i="26"/>
  <c r="C102" i="26"/>
  <c r="C88" i="26"/>
  <c r="C89" i="26"/>
  <c r="E113" i="26"/>
  <c r="D113" i="26"/>
  <c r="C113" i="26"/>
  <c r="E122" i="26"/>
  <c r="E123" i="26"/>
  <c r="D122" i="26"/>
  <c r="D123" i="26"/>
  <c r="E117" i="26"/>
  <c r="C122" i="26"/>
  <c r="C123" i="26"/>
  <c r="D28" i="26"/>
  <c r="D35" i="26"/>
  <c r="C35" i="26"/>
  <c r="E28" i="26"/>
  <c r="E35" i="26"/>
  <c r="C28" i="26"/>
  <c r="U56" i="14"/>
  <c r="D84" i="26"/>
  <c r="D118" i="26"/>
  <c r="C84" i="26"/>
  <c r="C118" i="26"/>
  <c r="D34" i="26"/>
  <c r="D81" i="26"/>
  <c r="D83" i="26"/>
  <c r="D116" i="26"/>
  <c r="C83" i="26"/>
  <c r="C116" i="26"/>
  <c r="D85" i="26"/>
  <c r="D119" i="26"/>
  <c r="C81" i="26"/>
  <c r="C85" i="26"/>
  <c r="C119" i="26"/>
  <c r="D82" i="26"/>
  <c r="D114" i="26"/>
  <c r="C34" i="26"/>
  <c r="C82" i="26"/>
  <c r="C114" i="26"/>
  <c r="D86" i="26"/>
  <c r="D120" i="26"/>
  <c r="C86" i="26"/>
  <c r="C120" i="26"/>
  <c r="E83" i="26"/>
  <c r="E116" i="26"/>
  <c r="E85" i="26"/>
  <c r="E119" i="26"/>
  <c r="E34" i="26"/>
  <c r="E82" i="26"/>
  <c r="E114" i="26"/>
  <c r="E86" i="26"/>
  <c r="E120" i="26"/>
  <c r="E81" i="26"/>
  <c r="E84" i="26"/>
  <c r="E118" i="26"/>
  <c r="U66" i="18"/>
  <c r="Y307" i="2"/>
  <c r="Y141" i="16" s="1"/>
  <c r="Q307" i="2"/>
  <c r="Y301" i="2"/>
  <c r="AB301" i="2" s="1"/>
  <c r="Q301" i="2"/>
  <c r="Y297" i="2"/>
  <c r="Y132" i="16" s="1"/>
  <c r="Q297" i="2"/>
  <c r="Y305" i="2"/>
  <c r="AB305" i="2" s="1"/>
  <c r="Q305" i="2"/>
  <c r="Y299" i="2"/>
  <c r="AB299" i="2" s="1"/>
  <c r="Q299" i="2"/>
  <c r="Y304" i="2"/>
  <c r="Y138" i="16" s="1"/>
  <c r="Q304" i="2"/>
  <c r="Y302" i="2"/>
  <c r="Y136" i="16" s="1"/>
  <c r="Q302" i="2"/>
  <c r="Y296" i="2"/>
  <c r="AB296" i="2" s="1"/>
  <c r="Q296" i="2"/>
  <c r="Y303" i="2"/>
  <c r="AB303" i="2" s="1"/>
  <c r="Q303" i="2"/>
  <c r="Y306" i="2"/>
  <c r="AB306" i="2" s="1"/>
  <c r="Q306" i="2"/>
  <c r="Y178" i="16"/>
  <c r="AB173" i="16"/>
  <c r="AB178" i="16" s="1"/>
  <c r="D22" i="16"/>
  <c r="AB22" i="16"/>
  <c r="Y31" i="14"/>
  <c r="Y72" i="18"/>
  <c r="AB193" i="2"/>
  <c r="Y42" i="16"/>
  <c r="AB104" i="2"/>
  <c r="Y40" i="16"/>
  <c r="AB102" i="2"/>
  <c r="Y38" i="16"/>
  <c r="AB100" i="2"/>
  <c r="Y39" i="16"/>
  <c r="AB101" i="2"/>
  <c r="Y37" i="16"/>
  <c r="AB99" i="2"/>
  <c r="Y41" i="16"/>
  <c r="AB103" i="2"/>
  <c r="N183" i="2"/>
  <c r="AB179" i="2"/>
  <c r="Y134" i="16"/>
  <c r="AB300" i="2"/>
  <c r="AB298" i="2"/>
  <c r="Y8" i="30"/>
  <c r="AB8" i="30" s="1"/>
  <c r="AB19" i="2"/>
  <c r="L183" i="2"/>
  <c r="O183" i="2"/>
  <c r="M183" i="2"/>
  <c r="AB177" i="2"/>
  <c r="Y64" i="18"/>
  <c r="AB176" i="2"/>
  <c r="AB178" i="2"/>
  <c r="Y65" i="18"/>
  <c r="Y175" i="2"/>
  <c r="Q19" i="2"/>
  <c r="Q175" i="2"/>
  <c r="Q193" i="2"/>
  <c r="Q177" i="2"/>
  <c r="Q179" i="2"/>
  <c r="Q176" i="2"/>
  <c r="Q178" i="2"/>
  <c r="Q298" i="2"/>
  <c r="Q255" i="2"/>
  <c r="Q101" i="2"/>
  <c r="Q300" i="2"/>
  <c r="Q104" i="2"/>
  <c r="Q100" i="2"/>
  <c r="Q99" i="2"/>
  <c r="Q103" i="2"/>
  <c r="Q102" i="2"/>
  <c r="H140" i="16"/>
  <c r="H139" i="16"/>
  <c r="H137" i="16"/>
  <c r="H134" i="16"/>
  <c r="H132" i="16"/>
  <c r="H131" i="16"/>
  <c r="Y135" i="16" l="1"/>
  <c r="AB302" i="2"/>
  <c r="AB297" i="2"/>
  <c r="Y137" i="16"/>
  <c r="Y131" i="16"/>
  <c r="Y133" i="16"/>
  <c r="AB307" i="2"/>
  <c r="Y139" i="16"/>
  <c r="Y140" i="16"/>
  <c r="AB304" i="2"/>
  <c r="Q183" i="2"/>
  <c r="Y63" i="18"/>
  <c r="Y66" i="18" s="1"/>
  <c r="Y183" i="2"/>
  <c r="AB175" i="2"/>
  <c r="AB183" i="2" s="1"/>
  <c r="G248" i="2"/>
  <c r="Z20" i="14" l="1"/>
  <c r="Z23" i="14" s="1"/>
  <c r="U12" i="14"/>
  <c r="U20" i="14"/>
  <c r="U23" i="14" s="1"/>
  <c r="Z8" i="14"/>
  <c r="U9" i="14"/>
  <c r="U8" i="14"/>
  <c r="G295" i="2" l="1"/>
  <c r="K9" i="19"/>
  <c r="K11" i="19" s="1"/>
  <c r="AD14" i="19"/>
  <c r="U10" i="14"/>
  <c r="G15" i="2" l="1"/>
  <c r="G87" i="2" l="1"/>
  <c r="G30" i="30" s="1"/>
  <c r="I30" i="30" l="1"/>
  <c r="J30" i="30"/>
  <c r="G39" i="2"/>
  <c r="Z14" i="18"/>
  <c r="U14" i="18"/>
  <c r="U79" i="18"/>
  <c r="U80" i="18"/>
  <c r="U81" i="18"/>
  <c r="U78" i="18"/>
  <c r="U77" i="18"/>
  <c r="U76" i="18"/>
  <c r="U69" i="18"/>
  <c r="U68" i="18"/>
  <c r="U59" i="18"/>
  <c r="U60" i="18"/>
  <c r="U53" i="18"/>
  <c r="U54" i="18"/>
  <c r="U55" i="18"/>
  <c r="U56" i="18"/>
  <c r="U50" i="18"/>
  <c r="U51" i="18"/>
  <c r="U52" i="18"/>
  <c r="U49" i="18"/>
  <c r="U30" i="18"/>
  <c r="U31" i="18"/>
  <c r="U32" i="18"/>
  <c r="U33" i="18"/>
  <c r="U34" i="18"/>
  <c r="U35" i="18"/>
  <c r="U36" i="18"/>
  <c r="U37" i="18"/>
  <c r="U70" i="18"/>
  <c r="U71" i="18"/>
  <c r="U38" i="18"/>
  <c r="U39" i="18"/>
  <c r="U40" i="18"/>
  <c r="U41" i="18"/>
  <c r="U42" i="18"/>
  <c r="U43" i="18"/>
  <c r="U44" i="18"/>
  <c r="U29" i="18"/>
  <c r="U28" i="18"/>
  <c r="U25" i="18"/>
  <c r="U24" i="18"/>
  <c r="U18" i="18"/>
  <c r="U19" i="18"/>
  <c r="U20" i="18"/>
  <c r="U21" i="18"/>
  <c r="U17" i="18"/>
  <c r="U9" i="18"/>
  <c r="U10" i="18"/>
  <c r="U11" i="18"/>
  <c r="U12" i="18"/>
  <c r="U13" i="18"/>
  <c r="U8" i="18"/>
  <c r="U120" i="16"/>
  <c r="U121" i="16"/>
  <c r="U122" i="16"/>
  <c r="U123" i="16"/>
  <c r="U124" i="16"/>
  <c r="U125" i="16"/>
  <c r="U126" i="16"/>
  <c r="U127" i="16"/>
  <c r="U128" i="16"/>
  <c r="U129" i="16"/>
  <c r="U130" i="16"/>
  <c r="U107" i="16"/>
  <c r="U93" i="16"/>
  <c r="U92" i="16"/>
  <c r="U90" i="16"/>
  <c r="U89" i="16"/>
  <c r="U87" i="16"/>
  <c r="U86" i="16"/>
  <c r="P14" i="14"/>
  <c r="Q14" i="14" s="1"/>
  <c r="U47" i="18" l="1"/>
  <c r="U98" i="16"/>
  <c r="U165" i="16"/>
  <c r="U15" i="18"/>
  <c r="U74" i="18"/>
  <c r="U26" i="18"/>
  <c r="U57" i="18"/>
  <c r="U61" i="18"/>
  <c r="U83" i="18"/>
  <c r="U22" i="18"/>
  <c r="G89" i="2"/>
  <c r="U85" i="18" l="1"/>
  <c r="G90" i="2"/>
  <c r="G65" i="16" s="1"/>
  <c r="I65" i="16" l="1"/>
  <c r="J65" i="16"/>
  <c r="G91" i="2"/>
  <c r="G66" i="16" s="1"/>
  <c r="I66" i="16" l="1"/>
  <c r="J66" i="16"/>
  <c r="G92" i="2"/>
  <c r="G24" i="30" l="1"/>
  <c r="G16" i="2"/>
  <c r="G9" i="30" s="1"/>
  <c r="K241" i="2"/>
  <c r="I24" i="30" l="1"/>
  <c r="J24" i="30"/>
  <c r="I9" i="30"/>
  <c r="J9" i="30"/>
  <c r="G191" i="2"/>
  <c r="G169" i="16" s="1"/>
  <c r="L95" i="2"/>
  <c r="Y95" i="2" s="1"/>
  <c r="Y32" i="30" s="1"/>
  <c r="AB32" i="30" s="1"/>
  <c r="M95" i="2"/>
  <c r="N95" i="2"/>
  <c r="O95" i="2"/>
  <c r="H34" i="16"/>
  <c r="L96" i="2"/>
  <c r="Y96" i="2" s="1"/>
  <c r="M96" i="2"/>
  <c r="N96" i="2"/>
  <c r="O96" i="2"/>
  <c r="H35" i="16"/>
  <c r="L97" i="2"/>
  <c r="Y97" i="2" s="1"/>
  <c r="M97" i="2"/>
  <c r="N97" i="2"/>
  <c r="O97" i="2"/>
  <c r="H36" i="16"/>
  <c r="L98" i="2"/>
  <c r="Y98" i="2" s="1"/>
  <c r="M98" i="2"/>
  <c r="N98" i="2"/>
  <c r="O98" i="2"/>
  <c r="H14" i="18"/>
  <c r="L18" i="2"/>
  <c r="Y18" i="2" s="1"/>
  <c r="M18" i="2"/>
  <c r="N18" i="2"/>
  <c r="O18" i="2"/>
  <c r="L31" i="2"/>
  <c r="Y31" i="2" s="1"/>
  <c r="AB31" i="2" s="1"/>
  <c r="M31" i="2"/>
  <c r="N31" i="2"/>
  <c r="O31" i="2"/>
  <c r="I169" i="16" l="1"/>
  <c r="J169" i="16"/>
  <c r="AB95" i="2"/>
  <c r="Y36" i="16"/>
  <c r="AB98" i="2"/>
  <c r="AB18" i="2"/>
  <c r="Y34" i="16"/>
  <c r="AB96" i="2"/>
  <c r="Y35" i="16"/>
  <c r="AB97" i="2"/>
  <c r="Z21" i="18"/>
  <c r="G249" i="2"/>
  <c r="H21" i="18"/>
  <c r="Q97" i="2"/>
  <c r="Q96" i="2"/>
  <c r="Q95" i="2"/>
  <c r="Q98" i="2"/>
  <c r="Q18" i="2"/>
  <c r="Q31" i="2"/>
  <c r="Y14" i="18" l="1"/>
  <c r="Y21" i="18"/>
  <c r="G192" i="2"/>
  <c r="G83" i="20" s="1"/>
  <c r="L254" i="2"/>
  <c r="Y254" i="2" s="1"/>
  <c r="M254" i="2"/>
  <c r="N254" i="2"/>
  <c r="O254" i="2"/>
  <c r="H30" i="14"/>
  <c r="L253" i="2"/>
  <c r="Y253" i="2" s="1"/>
  <c r="M253" i="2"/>
  <c r="N253" i="2"/>
  <c r="O253" i="2"/>
  <c r="I83" i="20" l="1"/>
  <c r="J83" i="20"/>
  <c r="AB254" i="2"/>
  <c r="Y30" i="14"/>
  <c r="Y14" i="14"/>
  <c r="AB14" i="14" s="1"/>
  <c r="AB253" i="2"/>
  <c r="G250" i="2"/>
  <c r="Q253" i="2"/>
  <c r="Q254" i="2"/>
  <c r="G94" i="2" l="1"/>
  <c r="G194" i="2" l="1"/>
  <c r="G84" i="20" s="1"/>
  <c r="A11" i="19"/>
  <c r="C10" i="23"/>
  <c r="P17" i="14"/>
  <c r="P58" i="14" s="1"/>
  <c r="U10" i="21"/>
  <c r="U12" i="21" s="1"/>
  <c r="P10" i="21"/>
  <c r="P12" i="21" s="1"/>
  <c r="R11" i="23"/>
  <c r="H11" i="23"/>
  <c r="Z9" i="19"/>
  <c r="Z11" i="19" s="1"/>
  <c r="Y9" i="19"/>
  <c r="Y11" i="19" s="1"/>
  <c r="W9" i="19"/>
  <c r="W11" i="19" s="1"/>
  <c r="U9" i="19"/>
  <c r="U11" i="19" s="1"/>
  <c r="T9" i="19"/>
  <c r="T11" i="19" s="1"/>
  <c r="S9" i="19"/>
  <c r="S11" i="19" s="1"/>
  <c r="P9" i="19"/>
  <c r="P11" i="19" s="1"/>
  <c r="L9" i="19"/>
  <c r="L11" i="19" s="1"/>
  <c r="D205" i="2"/>
  <c r="L205" i="2"/>
  <c r="Y205" i="2" s="1"/>
  <c r="M205" i="2"/>
  <c r="N205" i="2"/>
  <c r="O205" i="2"/>
  <c r="I84" i="20" l="1"/>
  <c r="J84" i="20"/>
  <c r="C13" i="23"/>
  <c r="AB205" i="2"/>
  <c r="Y86" i="16"/>
  <c r="F160" i="26"/>
  <c r="F163" i="26"/>
  <c r="F159" i="26"/>
  <c r="F157" i="26"/>
  <c r="F166" i="26"/>
  <c r="F158" i="26"/>
  <c r="F165" i="26"/>
  <c r="F161" i="26"/>
  <c r="F164" i="26"/>
  <c r="F162" i="26"/>
  <c r="C69" i="26"/>
  <c r="D69" i="26"/>
  <c r="E69" i="26"/>
  <c r="F69" i="26"/>
  <c r="F75" i="26"/>
  <c r="F59" i="26"/>
  <c r="F42" i="26"/>
  <c r="F48" i="26"/>
  <c r="F74" i="26"/>
  <c r="F49" i="26"/>
  <c r="F54" i="26"/>
  <c r="F71" i="26"/>
  <c r="F61" i="26"/>
  <c r="F68" i="26"/>
  <c r="F53" i="26"/>
  <c r="F43" i="26"/>
  <c r="F38" i="26"/>
  <c r="F63" i="26"/>
  <c r="F73" i="26"/>
  <c r="F65" i="26"/>
  <c r="F44" i="26"/>
  <c r="F41" i="26"/>
  <c r="F51" i="26"/>
  <c r="F70" i="26"/>
  <c r="F37" i="26"/>
  <c r="F72" i="26"/>
  <c r="F58" i="26"/>
  <c r="F55" i="26"/>
  <c r="F52" i="26"/>
  <c r="F66" i="26"/>
  <c r="F47" i="26"/>
  <c r="F45" i="26"/>
  <c r="F50" i="26"/>
  <c r="F46" i="26"/>
  <c r="F67" i="26"/>
  <c r="F40" i="26"/>
  <c r="F57" i="26"/>
  <c r="F56" i="26"/>
  <c r="F62" i="26"/>
  <c r="F60" i="26"/>
  <c r="F39" i="26"/>
  <c r="F64" i="26"/>
  <c r="E157" i="26"/>
  <c r="E159" i="26"/>
  <c r="E164" i="26"/>
  <c r="E165" i="26"/>
  <c r="E166" i="26"/>
  <c r="D159" i="26"/>
  <c r="D164" i="26"/>
  <c r="D165" i="26"/>
  <c r="C158" i="26"/>
  <c r="C160" i="26"/>
  <c r="C162" i="26"/>
  <c r="C163" i="26"/>
  <c r="D166" i="26"/>
  <c r="D158" i="26"/>
  <c r="D160" i="26"/>
  <c r="D163" i="26"/>
  <c r="C164" i="26"/>
  <c r="C166" i="26"/>
  <c r="E158" i="26"/>
  <c r="E160" i="26"/>
  <c r="E162" i="26"/>
  <c r="E163" i="26"/>
  <c r="C157" i="26"/>
  <c r="D157" i="26"/>
  <c r="C159" i="26"/>
  <c r="C165" i="26"/>
  <c r="G159" i="26"/>
  <c r="G158" i="26"/>
  <c r="F156" i="26"/>
  <c r="H9" i="23"/>
  <c r="C42" i="26"/>
  <c r="C41" i="26"/>
  <c r="C38" i="26"/>
  <c r="C40" i="26"/>
  <c r="E66" i="26"/>
  <c r="C68" i="26"/>
  <c r="D70" i="26"/>
  <c r="C37" i="26"/>
  <c r="C65" i="26"/>
  <c r="D68" i="26"/>
  <c r="E70" i="26"/>
  <c r="D65" i="26"/>
  <c r="E68" i="26"/>
  <c r="E65" i="26"/>
  <c r="C67" i="26"/>
  <c r="C39" i="26"/>
  <c r="D67" i="26"/>
  <c r="C71" i="26"/>
  <c r="C66" i="26"/>
  <c r="E71" i="26"/>
  <c r="C70" i="26"/>
  <c r="D71" i="26"/>
  <c r="D66" i="26"/>
  <c r="E67" i="26"/>
  <c r="C64" i="26"/>
  <c r="U17" i="14"/>
  <c r="U58" i="14" s="1"/>
  <c r="C156" i="26"/>
  <c r="E156" i="26"/>
  <c r="G251" i="2"/>
  <c r="N9" i="19"/>
  <c r="N11" i="19" s="1"/>
  <c r="O9" i="19"/>
  <c r="O11" i="19" s="1"/>
  <c r="M9" i="19"/>
  <c r="M11" i="19" s="1"/>
  <c r="X9" i="19"/>
  <c r="X11" i="19" s="1"/>
  <c r="AA9" i="19"/>
  <c r="AA11" i="19" s="1"/>
  <c r="Q205" i="2"/>
  <c r="F20" i="14"/>
  <c r="E20" i="14"/>
  <c r="D20" i="14"/>
  <c r="C20" i="14"/>
  <c r="F12" i="14"/>
  <c r="E12" i="14"/>
  <c r="C12" i="14"/>
  <c r="F9" i="14"/>
  <c r="E9" i="14"/>
  <c r="C9" i="14"/>
  <c r="F8" i="14"/>
  <c r="E8" i="14"/>
  <c r="D8" i="14"/>
  <c r="C8" i="14"/>
  <c r="C161" i="26" l="1"/>
  <c r="D161" i="26"/>
  <c r="E155" i="26"/>
  <c r="E161" i="26"/>
  <c r="C153" i="26"/>
  <c r="D153" i="26"/>
  <c r="E153" i="26"/>
  <c r="C154" i="26"/>
  <c r="E154" i="26"/>
  <c r="C155" i="26"/>
  <c r="S9" i="23"/>
  <c r="H10" i="23"/>
  <c r="Q9" i="19"/>
  <c r="Q11" i="19" s="1"/>
  <c r="L17" i="2"/>
  <c r="Y17" i="2" s="1"/>
  <c r="Y8" i="16" s="1"/>
  <c r="M17" i="2"/>
  <c r="N17" i="2"/>
  <c r="O17" i="2"/>
  <c r="Y11" i="16" l="1"/>
  <c r="AB8" i="16"/>
  <c r="AB17" i="2"/>
  <c r="G252" i="2"/>
  <c r="Q17" i="2"/>
  <c r="M10" i="23" l="1"/>
  <c r="F130" i="16"/>
  <c r="E130" i="16"/>
  <c r="D130" i="16"/>
  <c r="C130" i="16"/>
  <c r="F129" i="16"/>
  <c r="E129" i="16"/>
  <c r="D129" i="16"/>
  <c r="C129" i="16"/>
  <c r="F128" i="16"/>
  <c r="E128" i="16"/>
  <c r="D128" i="16"/>
  <c r="C128" i="16"/>
  <c r="F127" i="16"/>
  <c r="E127" i="16"/>
  <c r="D127" i="16"/>
  <c r="C127" i="16"/>
  <c r="F126" i="16"/>
  <c r="E126" i="16"/>
  <c r="D126" i="16"/>
  <c r="C126" i="16"/>
  <c r="E125" i="16"/>
  <c r="D125" i="16"/>
  <c r="C125" i="16"/>
  <c r="F124" i="16"/>
  <c r="E124" i="16"/>
  <c r="D124" i="16"/>
  <c r="C124" i="16"/>
  <c r="F123" i="16"/>
  <c r="E123" i="16"/>
  <c r="D123" i="16"/>
  <c r="C123" i="16"/>
  <c r="C103" i="26" s="1"/>
  <c r="F122" i="16"/>
  <c r="E122" i="16"/>
  <c r="E107" i="16"/>
  <c r="E89" i="26" s="1"/>
  <c r="F107" i="16"/>
  <c r="E120" i="16"/>
  <c r="E100" i="26" s="1"/>
  <c r="F120" i="16"/>
  <c r="E121" i="16"/>
  <c r="F121" i="16"/>
  <c r="C87" i="16"/>
  <c r="E87" i="16"/>
  <c r="F87" i="16"/>
  <c r="C89" i="16"/>
  <c r="E89" i="16"/>
  <c r="F89" i="16"/>
  <c r="C90" i="16"/>
  <c r="E90" i="16"/>
  <c r="F90" i="16"/>
  <c r="C92" i="16"/>
  <c r="E92" i="16"/>
  <c r="F92" i="16"/>
  <c r="C93" i="16"/>
  <c r="D93" i="16"/>
  <c r="E93" i="16"/>
  <c r="F93" i="16"/>
  <c r="F86" i="16"/>
  <c r="E86" i="16"/>
  <c r="E72" i="26" s="1"/>
  <c r="C86" i="16"/>
  <c r="C72" i="26" s="1"/>
  <c r="U25" i="16"/>
  <c r="U26" i="16"/>
  <c r="U27" i="16"/>
  <c r="U28" i="16"/>
  <c r="U29" i="16"/>
  <c r="U30" i="16"/>
  <c r="U31" i="16"/>
  <c r="U32" i="16"/>
  <c r="U33" i="16"/>
  <c r="C26" i="16"/>
  <c r="E26" i="16"/>
  <c r="F26" i="16"/>
  <c r="C27" i="16"/>
  <c r="E27" i="16"/>
  <c r="F27" i="16"/>
  <c r="C28" i="16"/>
  <c r="E28" i="16"/>
  <c r="F28" i="16"/>
  <c r="C29" i="16"/>
  <c r="D29" i="16"/>
  <c r="E29" i="16"/>
  <c r="F29" i="16"/>
  <c r="C30" i="16"/>
  <c r="D30" i="16"/>
  <c r="E30" i="16"/>
  <c r="F30" i="16"/>
  <c r="C31" i="16"/>
  <c r="D31" i="16"/>
  <c r="E31" i="16"/>
  <c r="F31" i="16"/>
  <c r="C32" i="16"/>
  <c r="D32" i="16"/>
  <c r="E32" i="16"/>
  <c r="F32" i="16"/>
  <c r="C33" i="16"/>
  <c r="C27" i="26" s="1"/>
  <c r="D33" i="16"/>
  <c r="D27" i="26" s="1"/>
  <c r="E33" i="16"/>
  <c r="E27" i="26" s="1"/>
  <c r="C25" i="16"/>
  <c r="E25" i="16"/>
  <c r="F25" i="16"/>
  <c r="C25" i="26" l="1"/>
  <c r="C23" i="26"/>
  <c r="D106" i="26"/>
  <c r="C106" i="26"/>
  <c r="D110" i="26"/>
  <c r="E110" i="26"/>
  <c r="E106" i="26"/>
  <c r="C111" i="26"/>
  <c r="C112" i="26"/>
  <c r="C105" i="26"/>
  <c r="D111" i="26"/>
  <c r="D112" i="26"/>
  <c r="D105" i="26"/>
  <c r="E111" i="26"/>
  <c r="E112" i="26"/>
  <c r="E105" i="26"/>
  <c r="C73" i="26"/>
  <c r="C74" i="26"/>
  <c r="C110" i="26"/>
  <c r="E25" i="26"/>
  <c r="D26" i="26"/>
  <c r="D24" i="26"/>
  <c r="D22" i="26"/>
  <c r="C24" i="26"/>
  <c r="C22" i="26"/>
  <c r="C26" i="26"/>
  <c r="E23" i="26"/>
  <c r="D25" i="26"/>
  <c r="D23" i="26"/>
  <c r="E26" i="26"/>
  <c r="E24" i="26"/>
  <c r="E22" i="26"/>
  <c r="U84" i="16"/>
  <c r="C75" i="26"/>
  <c r="C104" i="26"/>
  <c r="D108" i="26"/>
  <c r="D109" i="26"/>
  <c r="C76" i="26"/>
  <c r="C107" i="26"/>
  <c r="D107" i="26"/>
  <c r="C77" i="26"/>
  <c r="C108" i="26"/>
  <c r="C78" i="26"/>
  <c r="C109" i="26"/>
  <c r="C79" i="26"/>
  <c r="E74" i="26"/>
  <c r="E102" i="26"/>
  <c r="E77" i="26"/>
  <c r="E108" i="26"/>
  <c r="E78" i="26"/>
  <c r="E109" i="26"/>
  <c r="E79" i="26"/>
  <c r="E75" i="26"/>
  <c r="E104" i="26"/>
  <c r="E73" i="26"/>
  <c r="E101" i="26"/>
  <c r="E64" i="26"/>
  <c r="E88" i="26"/>
  <c r="E76" i="26"/>
  <c r="E107" i="26"/>
  <c r="E103" i="26"/>
  <c r="C63" i="26"/>
  <c r="C80" i="26"/>
  <c r="D63" i="26"/>
  <c r="D80" i="26"/>
  <c r="E63" i="26"/>
  <c r="E80" i="26"/>
  <c r="E54" i="26"/>
  <c r="E56" i="26"/>
  <c r="C57" i="26"/>
  <c r="C59" i="26"/>
  <c r="C61" i="26"/>
  <c r="C55" i="26"/>
  <c r="D57" i="26"/>
  <c r="D59" i="26"/>
  <c r="D61" i="26"/>
  <c r="E57" i="26"/>
  <c r="E59" i="26"/>
  <c r="E61" i="26"/>
  <c r="E55" i="26"/>
  <c r="C58" i="26"/>
  <c r="C60" i="26"/>
  <c r="C62" i="26"/>
  <c r="C54" i="26"/>
  <c r="C56" i="26"/>
  <c r="D58" i="26"/>
  <c r="D60" i="26"/>
  <c r="D62" i="26"/>
  <c r="D54" i="26"/>
  <c r="D56" i="26"/>
  <c r="E58" i="26"/>
  <c r="E60" i="26"/>
  <c r="E62" i="26"/>
  <c r="C53" i="26"/>
  <c r="E53" i="26"/>
  <c r="E13" i="26"/>
  <c r="E32" i="26"/>
  <c r="C13" i="26"/>
  <c r="C32" i="26"/>
  <c r="C12" i="26"/>
  <c r="E33" i="26"/>
  <c r="C33" i="26"/>
  <c r="E14" i="26"/>
  <c r="E31" i="26"/>
  <c r="C31" i="26"/>
  <c r="U180" i="16"/>
  <c r="E49" i="26"/>
  <c r="E51" i="26"/>
  <c r="E41" i="26"/>
  <c r="E52" i="26"/>
  <c r="E47" i="26"/>
  <c r="E46" i="26"/>
  <c r="E43" i="26"/>
  <c r="E45" i="26"/>
  <c r="C48" i="26"/>
  <c r="C50" i="26"/>
  <c r="C52" i="26"/>
  <c r="C45" i="26"/>
  <c r="C15" i="26"/>
  <c r="C14" i="26"/>
  <c r="C20" i="26"/>
  <c r="C18" i="26"/>
  <c r="C30" i="26"/>
  <c r="C29" i="26"/>
  <c r="C17" i="26"/>
  <c r="C47" i="26"/>
  <c r="C49" i="26"/>
  <c r="C51" i="26"/>
  <c r="C19" i="26"/>
  <c r="C44" i="26"/>
  <c r="C43" i="26"/>
  <c r="C46" i="26"/>
  <c r="D47" i="26"/>
  <c r="D46" i="26"/>
  <c r="C21" i="26"/>
  <c r="C16" i="26"/>
  <c r="E40" i="26"/>
  <c r="D45" i="26"/>
  <c r="E38" i="26"/>
  <c r="E16" i="26"/>
  <c r="E18" i="26"/>
  <c r="E44" i="26"/>
  <c r="E20" i="26"/>
  <c r="E48" i="26"/>
  <c r="E50" i="26"/>
  <c r="E19" i="26"/>
  <c r="E39" i="26"/>
  <c r="E21" i="26"/>
  <c r="E17" i="26"/>
  <c r="E37" i="26"/>
  <c r="E15" i="26"/>
  <c r="E42" i="26"/>
  <c r="E30" i="26"/>
  <c r="E29" i="26"/>
  <c r="E7" i="26"/>
  <c r="E12" i="26"/>
  <c r="C7" i="26"/>
  <c r="M9" i="23" l="1"/>
  <c r="G17" i="2"/>
  <c r="G8" i="16" s="1"/>
  <c r="I8" i="16" l="1"/>
  <c r="J8" i="16"/>
  <c r="G253" i="2"/>
  <c r="G14" i="14" s="1"/>
  <c r="I14" i="14" s="1"/>
  <c r="H13" i="23"/>
  <c r="G254" i="2" l="1"/>
  <c r="G21" i="18" l="1"/>
  <c r="L194" i="2"/>
  <c r="Y194" i="2" s="1"/>
  <c r="Y84" i="20" s="1"/>
  <c r="AB84" i="20" s="1"/>
  <c r="M194" i="2"/>
  <c r="N194" i="2"/>
  <c r="O194" i="2"/>
  <c r="L94" i="2"/>
  <c r="Y94" i="2" s="1"/>
  <c r="M94" i="2"/>
  <c r="N94" i="2"/>
  <c r="O94" i="2"/>
  <c r="H33" i="16"/>
  <c r="H29" i="14"/>
  <c r="L250" i="2"/>
  <c r="Y250" i="2" s="1"/>
  <c r="M250" i="2"/>
  <c r="N250" i="2"/>
  <c r="O250" i="2"/>
  <c r="L251" i="2"/>
  <c r="Y251" i="2" s="1"/>
  <c r="M251" i="2"/>
  <c r="N251" i="2"/>
  <c r="O251" i="2"/>
  <c r="L252" i="2"/>
  <c r="Y252" i="2" s="1"/>
  <c r="M252" i="2"/>
  <c r="N252" i="2"/>
  <c r="O252" i="2"/>
  <c r="Y33" i="16" l="1"/>
  <c r="AB94" i="2"/>
  <c r="AB194" i="2"/>
  <c r="AB251" i="2"/>
  <c r="Y29" i="14"/>
  <c r="AB250" i="2"/>
  <c r="Y19" i="14"/>
  <c r="AB252" i="2"/>
  <c r="Y20" i="14"/>
  <c r="G18" i="2"/>
  <c r="G11" i="18"/>
  <c r="H19" i="14"/>
  <c r="Q94" i="2"/>
  <c r="Q251" i="2"/>
  <c r="Q252" i="2"/>
  <c r="Q194" i="2"/>
  <c r="Q250" i="2"/>
  <c r="Y23" i="14" l="1"/>
  <c r="G12" i="18"/>
  <c r="G95" i="2" l="1"/>
  <c r="G32" i="30" s="1"/>
  <c r="G13" i="18"/>
  <c r="G8" i="14"/>
  <c r="H92" i="16"/>
  <c r="H8" i="14"/>
  <c r="L39" i="2"/>
  <c r="Y39" i="2" s="1"/>
  <c r="Y25" i="18" s="1"/>
  <c r="M39" i="2"/>
  <c r="N39" i="2"/>
  <c r="O39" i="2"/>
  <c r="L219" i="2"/>
  <c r="Y219" i="2" s="1"/>
  <c r="M219" i="2"/>
  <c r="N219" i="2"/>
  <c r="O219" i="2"/>
  <c r="L87" i="2"/>
  <c r="Y87" i="2" s="1"/>
  <c r="Y30" i="30" s="1"/>
  <c r="AB30" i="30" s="1"/>
  <c r="M87" i="2"/>
  <c r="N87" i="2"/>
  <c r="O87" i="2"/>
  <c r="L88" i="2"/>
  <c r="Y88" i="2" s="1"/>
  <c r="Y31" i="30" s="1"/>
  <c r="AB31" i="30" s="1"/>
  <c r="M88" i="2"/>
  <c r="N88" i="2"/>
  <c r="O88" i="2"/>
  <c r="H31" i="16"/>
  <c r="L89" i="2"/>
  <c r="Y89" i="2" s="1"/>
  <c r="M89" i="2"/>
  <c r="N89" i="2"/>
  <c r="O89" i="2"/>
  <c r="L90" i="2"/>
  <c r="Y90" i="2" s="1"/>
  <c r="Y65" i="16" s="1"/>
  <c r="AB65" i="16" s="1"/>
  <c r="M90" i="2"/>
  <c r="N90" i="2"/>
  <c r="O90" i="2"/>
  <c r="L91" i="2"/>
  <c r="Y91" i="2" s="1"/>
  <c r="Y66" i="16" s="1"/>
  <c r="AB66" i="16" s="1"/>
  <c r="M91" i="2"/>
  <c r="N91" i="2"/>
  <c r="O91" i="2"/>
  <c r="L92" i="2"/>
  <c r="Y92" i="2" s="1"/>
  <c r="M92" i="2"/>
  <c r="N92" i="2"/>
  <c r="O92" i="2"/>
  <c r="H32" i="16"/>
  <c r="L93" i="2"/>
  <c r="Y93" i="2" s="1"/>
  <c r="M93" i="2"/>
  <c r="N93" i="2"/>
  <c r="O93" i="2"/>
  <c r="L191" i="2"/>
  <c r="Y191" i="2" s="1"/>
  <c r="Y169" i="16" s="1"/>
  <c r="M191" i="2"/>
  <c r="N191" i="2"/>
  <c r="O191" i="2"/>
  <c r="L249" i="2"/>
  <c r="Y249" i="2" s="1"/>
  <c r="Y33" i="14" s="1"/>
  <c r="M249" i="2"/>
  <c r="N249" i="2"/>
  <c r="O249" i="2"/>
  <c r="L192" i="2"/>
  <c r="Y192" i="2" s="1"/>
  <c r="Y83" i="20" s="1"/>
  <c r="AB83" i="20" s="1"/>
  <c r="M192" i="2"/>
  <c r="N192" i="2"/>
  <c r="O192" i="2"/>
  <c r="L294" i="2"/>
  <c r="M294" i="2"/>
  <c r="N294" i="2"/>
  <c r="O294" i="2"/>
  <c r="L295" i="2"/>
  <c r="M295" i="2"/>
  <c r="N295" i="2"/>
  <c r="O295" i="2"/>
  <c r="H27" i="14"/>
  <c r="L247" i="2"/>
  <c r="Y247" i="2" s="1"/>
  <c r="AB247" i="2" s="1"/>
  <c r="M247" i="2"/>
  <c r="N247" i="2"/>
  <c r="O247" i="2"/>
  <c r="H28" i="14"/>
  <c r="L248" i="2"/>
  <c r="Y248" i="2" s="1"/>
  <c r="AB248" i="2" s="1"/>
  <c r="M248" i="2"/>
  <c r="N248" i="2"/>
  <c r="O248" i="2"/>
  <c r="L16" i="2"/>
  <c r="Y16" i="2" s="1"/>
  <c r="M16" i="2"/>
  <c r="N16" i="2"/>
  <c r="O16" i="2"/>
  <c r="L15" i="2"/>
  <c r="Y15" i="2" s="1"/>
  <c r="M15" i="2"/>
  <c r="N15" i="2"/>
  <c r="O15" i="2"/>
  <c r="I32" i="30" l="1"/>
  <c r="J32" i="30"/>
  <c r="Y295" i="2"/>
  <c r="AB295" i="2" s="1"/>
  <c r="Q295" i="2"/>
  <c r="Y294" i="2"/>
  <c r="AB294" i="2" s="1"/>
  <c r="Q294" i="2"/>
  <c r="Y24" i="30"/>
  <c r="AB24" i="30" s="1"/>
  <c r="Y171" i="16"/>
  <c r="AB169" i="16"/>
  <c r="AB249" i="2"/>
  <c r="AB91" i="2"/>
  <c r="Y31" i="16"/>
  <c r="AB89" i="2"/>
  <c r="Y9" i="30"/>
  <c r="AB16" i="2"/>
  <c r="AB191" i="2"/>
  <c r="AB192" i="2"/>
  <c r="AB92" i="2"/>
  <c r="AB87" i="2"/>
  <c r="AB90" i="2"/>
  <c r="AB93" i="2"/>
  <c r="Y32" i="16"/>
  <c r="AB219" i="2"/>
  <c r="Y93" i="16"/>
  <c r="AB88" i="2"/>
  <c r="AB39" i="2"/>
  <c r="Y28" i="14"/>
  <c r="AB15" i="2"/>
  <c r="Y27" i="14"/>
  <c r="I8" i="14"/>
  <c r="H20" i="18"/>
  <c r="Q39" i="2"/>
  <c r="Q219" i="2"/>
  <c r="Q93" i="2"/>
  <c r="Q90" i="2"/>
  <c r="Q92" i="2"/>
  <c r="Q89" i="2"/>
  <c r="Q88" i="2"/>
  <c r="Q87" i="2"/>
  <c r="Q91" i="2"/>
  <c r="Q249" i="2"/>
  <c r="Q192" i="2"/>
  <c r="Q191" i="2"/>
  <c r="Q248" i="2"/>
  <c r="Q247" i="2"/>
  <c r="Q15" i="2"/>
  <c r="Q16" i="2"/>
  <c r="Y129" i="16" l="1"/>
  <c r="Y130" i="16"/>
  <c r="AB171" i="16"/>
  <c r="Y10" i="30"/>
  <c r="AB9" i="30"/>
  <c r="Y8" i="14"/>
  <c r="H25" i="18"/>
  <c r="J16" i="2"/>
  <c r="I15" i="2"/>
  <c r="J15" i="2"/>
  <c r="K8" i="14" s="1"/>
  <c r="AB10" i="30" l="1"/>
  <c r="O8" i="14"/>
  <c r="N8" i="14"/>
  <c r="L8" i="14"/>
  <c r="M8" i="14"/>
  <c r="G96" i="2"/>
  <c r="G14" i="18"/>
  <c r="J18" i="2"/>
  <c r="K14" i="18" s="1"/>
  <c r="I18" i="2"/>
  <c r="R15" i="2"/>
  <c r="I16" i="2"/>
  <c r="R16" i="2" s="1"/>
  <c r="R9" i="30" s="1"/>
  <c r="V9" i="30" s="1"/>
  <c r="AC9" i="30" s="1"/>
  <c r="G17" i="18"/>
  <c r="T8" i="14" l="1"/>
  <c r="R8" i="14"/>
  <c r="Q8" i="14"/>
  <c r="J8" i="14" s="1"/>
  <c r="V15" i="2"/>
  <c r="AC15" i="2" s="1"/>
  <c r="S8" i="14"/>
  <c r="N14" i="18"/>
  <c r="O14" i="18"/>
  <c r="M14" i="18"/>
  <c r="L14" i="18"/>
  <c r="G97" i="2"/>
  <c r="R18" i="2"/>
  <c r="I14" i="18"/>
  <c r="V16" i="2"/>
  <c r="AC16" i="2" s="1"/>
  <c r="T14" i="18" l="1"/>
  <c r="R14" i="18"/>
  <c r="W8" i="14"/>
  <c r="X8" i="14"/>
  <c r="Q14" i="18"/>
  <c r="J14" i="18" s="1"/>
  <c r="V18" i="2"/>
  <c r="AC18" i="2" s="1"/>
  <c r="S14" i="18"/>
  <c r="V8" i="14"/>
  <c r="G98" i="2"/>
  <c r="AB8" i="14" l="1"/>
  <c r="AC8" i="14" s="1"/>
  <c r="X14" i="18"/>
  <c r="V14" i="18"/>
  <c r="G296" i="2"/>
  <c r="G153" i="26" l="1"/>
  <c r="AB14" i="18"/>
  <c r="AC14" i="18" s="1"/>
  <c r="G11" i="17" s="1"/>
  <c r="G297" i="2"/>
  <c r="G298" i="2" l="1"/>
  <c r="G174" i="16" s="1"/>
  <c r="I174" i="16" l="1"/>
  <c r="J174" i="16"/>
  <c r="G179" i="2"/>
  <c r="G173" i="16" s="1"/>
  <c r="L81" i="2"/>
  <c r="Y81" i="2" s="1"/>
  <c r="Y28" i="30" s="1"/>
  <c r="AB28" i="30" s="1"/>
  <c r="M81" i="2"/>
  <c r="N81" i="2"/>
  <c r="O81" i="2"/>
  <c r="L82" i="2"/>
  <c r="Y82" i="2" s="1"/>
  <c r="Y62" i="16" s="1"/>
  <c r="AB62" i="16" s="1"/>
  <c r="M82" i="2"/>
  <c r="N82" i="2"/>
  <c r="O82" i="2"/>
  <c r="L83" i="2"/>
  <c r="Y83" i="2" s="1"/>
  <c r="Y63" i="16" s="1"/>
  <c r="AB63" i="16" s="1"/>
  <c r="M83" i="2"/>
  <c r="N83" i="2"/>
  <c r="O83" i="2"/>
  <c r="L84" i="2"/>
  <c r="Y84" i="2" s="1"/>
  <c r="Y29" i="30" s="1"/>
  <c r="AB29" i="30" s="1"/>
  <c r="M84" i="2"/>
  <c r="N84" i="2"/>
  <c r="O84" i="2"/>
  <c r="L85" i="2"/>
  <c r="Y85" i="2" s="1"/>
  <c r="Y64" i="16" s="1"/>
  <c r="AB64" i="16" s="1"/>
  <c r="M85" i="2"/>
  <c r="N85" i="2"/>
  <c r="O85" i="2"/>
  <c r="H30" i="16"/>
  <c r="L86" i="2"/>
  <c r="Y86" i="2" s="1"/>
  <c r="M86" i="2"/>
  <c r="N86" i="2"/>
  <c r="O86" i="2"/>
  <c r="L293" i="2"/>
  <c r="M293" i="2"/>
  <c r="N293" i="2"/>
  <c r="O293" i="2"/>
  <c r="O233" i="2"/>
  <c r="N233" i="2"/>
  <c r="M233" i="2"/>
  <c r="L233" i="2"/>
  <c r="N208" i="2"/>
  <c r="N160" i="2"/>
  <c r="O145" i="2"/>
  <c r="O66" i="2"/>
  <c r="O49" i="2"/>
  <c r="O48" i="2"/>
  <c r="N48" i="2"/>
  <c r="M48" i="2"/>
  <c r="L48" i="2"/>
  <c r="O43" i="2"/>
  <c r="L42" i="2"/>
  <c r="O42" i="2"/>
  <c r="N28" i="2"/>
  <c r="N246" i="2"/>
  <c r="L245" i="2"/>
  <c r="Y245" i="2" s="1"/>
  <c r="AB245" i="2" s="1"/>
  <c r="O243" i="2"/>
  <c r="N12" i="2"/>
  <c r="O238" i="2"/>
  <c r="M218" i="2"/>
  <c r="M215" i="2"/>
  <c r="O214" i="2"/>
  <c r="M213" i="2"/>
  <c r="N212" i="2"/>
  <c r="L210" i="2"/>
  <c r="Y210" i="2" s="1"/>
  <c r="AB210" i="2" s="1"/>
  <c r="O208" i="2"/>
  <c r="O207" i="2"/>
  <c r="O204" i="2"/>
  <c r="M190" i="2"/>
  <c r="O187" i="2"/>
  <c r="O168" i="2"/>
  <c r="N167" i="2"/>
  <c r="O292" i="2"/>
  <c r="M291" i="2"/>
  <c r="N290" i="2"/>
  <c r="O287" i="2"/>
  <c r="N159" i="2"/>
  <c r="N158" i="2"/>
  <c r="M156" i="2"/>
  <c r="M155" i="2"/>
  <c r="N154" i="2"/>
  <c r="O152" i="2"/>
  <c r="O150" i="2"/>
  <c r="O149" i="2"/>
  <c r="M147" i="2"/>
  <c r="L146" i="2"/>
  <c r="Y146" i="2" s="1"/>
  <c r="Y28" i="20" s="1"/>
  <c r="AB28" i="20" s="1"/>
  <c r="N145" i="2"/>
  <c r="M143" i="2"/>
  <c r="O142" i="2"/>
  <c r="M80" i="2"/>
  <c r="O79" i="2"/>
  <c r="O78" i="2"/>
  <c r="O77" i="2"/>
  <c r="L75" i="2"/>
  <c r="N74" i="2"/>
  <c r="N73" i="2"/>
  <c r="N72" i="2"/>
  <c r="L71" i="2"/>
  <c r="N70" i="2"/>
  <c r="M69" i="2"/>
  <c r="N68" i="2"/>
  <c r="N67" i="2"/>
  <c r="N66" i="2"/>
  <c r="M64" i="2"/>
  <c r="N63" i="2"/>
  <c r="N61" i="2"/>
  <c r="M60" i="2"/>
  <c r="N59" i="2"/>
  <c r="L58" i="2"/>
  <c r="M57" i="2"/>
  <c r="N56" i="2"/>
  <c r="M189" i="2"/>
  <c r="N188" i="2"/>
  <c r="N54" i="2"/>
  <c r="M53" i="2"/>
  <c r="N52" i="2"/>
  <c r="M51" i="2"/>
  <c r="L50" i="2"/>
  <c r="N49" i="2"/>
  <c r="N47" i="2"/>
  <c r="N45" i="2"/>
  <c r="M44" i="2"/>
  <c r="N43" i="2"/>
  <c r="M38" i="2"/>
  <c r="L216" i="2"/>
  <c r="L30" i="2"/>
  <c r="Y30" i="2" s="1"/>
  <c r="AB30" i="2" s="1"/>
  <c r="L28" i="2"/>
  <c r="Y28" i="2" s="1"/>
  <c r="AB28" i="2" s="1"/>
  <c r="O27" i="2"/>
  <c r="L26" i="2"/>
  <c r="N9" i="2"/>
  <c r="L10" i="2"/>
  <c r="N11" i="2"/>
  <c r="N14" i="2"/>
  <c r="Y293" i="2" l="1"/>
  <c r="Q293" i="2"/>
  <c r="I173" i="16"/>
  <c r="J173" i="16"/>
  <c r="AB85" i="2"/>
  <c r="AB83" i="2"/>
  <c r="AB86" i="2"/>
  <c r="Y30" i="16"/>
  <c r="AB81" i="2"/>
  <c r="AB146" i="2"/>
  <c r="AB84" i="2"/>
  <c r="AB293" i="2"/>
  <c r="Y128" i="16"/>
  <c r="AB82" i="2"/>
  <c r="Y42" i="2"/>
  <c r="Y233" i="2"/>
  <c r="Y216" i="2"/>
  <c r="Y75" i="2"/>
  <c r="Y48" i="2"/>
  <c r="Y17" i="30" s="1"/>
  <c r="Y10" i="2"/>
  <c r="AB10" i="2" s="1"/>
  <c r="Y58" i="2"/>
  <c r="Y19" i="30" s="1"/>
  <c r="AB19" i="30" s="1"/>
  <c r="Y71" i="2"/>
  <c r="Y26" i="2"/>
  <c r="Y14" i="16" s="1"/>
  <c r="Y50" i="2"/>
  <c r="Y18" i="30" s="1"/>
  <c r="AB18" i="30" s="1"/>
  <c r="Y13" i="30"/>
  <c r="AB13" i="30" s="1"/>
  <c r="Z19" i="18"/>
  <c r="Y19" i="18"/>
  <c r="Z20" i="18"/>
  <c r="Y20" i="18"/>
  <c r="Z25" i="14"/>
  <c r="Z10" i="18"/>
  <c r="G19" i="2"/>
  <c r="G8" i="30" s="1"/>
  <c r="Q81" i="2"/>
  <c r="Q82" i="2"/>
  <c r="Q83" i="2"/>
  <c r="Q84" i="2"/>
  <c r="Q86" i="2"/>
  <c r="Q85" i="2"/>
  <c r="M14" i="2"/>
  <c r="M30" i="2"/>
  <c r="L44" i="2"/>
  <c r="L167" i="2"/>
  <c r="L14" i="2"/>
  <c r="N30" i="2"/>
  <c r="L47" i="2"/>
  <c r="L59" i="2"/>
  <c r="L68" i="2"/>
  <c r="N77" i="2"/>
  <c r="N150" i="2"/>
  <c r="L213" i="2"/>
  <c r="M11" i="2"/>
  <c r="M37" i="2"/>
  <c r="L11" i="2"/>
  <c r="Y11" i="2" s="1"/>
  <c r="AB11" i="2" s="1"/>
  <c r="N37" i="2"/>
  <c r="L80" i="2"/>
  <c r="M26" i="2"/>
  <c r="L189" i="2"/>
  <c r="L64" i="2"/>
  <c r="M204" i="2"/>
  <c r="N26" i="2"/>
  <c r="L159" i="2"/>
  <c r="M28" i="2"/>
  <c r="M42" i="2"/>
  <c r="M49" i="2"/>
  <c r="M66" i="2"/>
  <c r="M145" i="2"/>
  <c r="L291" i="2"/>
  <c r="M237" i="2"/>
  <c r="L237" i="2"/>
  <c r="M9" i="2"/>
  <c r="M79" i="2"/>
  <c r="N79" i="2"/>
  <c r="M288" i="2"/>
  <c r="N288" i="2"/>
  <c r="O289" i="2"/>
  <c r="N289" i="2"/>
  <c r="M289" i="2"/>
  <c r="O185" i="2"/>
  <c r="N185" i="2"/>
  <c r="M185" i="2"/>
  <c r="N204" i="2"/>
  <c r="O211" i="2"/>
  <c r="N211" i="2"/>
  <c r="M211" i="2"/>
  <c r="N228" i="2"/>
  <c r="M239" i="2"/>
  <c r="N239" i="2"/>
  <c r="L239" i="2"/>
  <c r="M244" i="2"/>
  <c r="O244" i="2"/>
  <c r="N244" i="2"/>
  <c r="L244" i="2"/>
  <c r="O13" i="2"/>
  <c r="O10" i="2"/>
  <c r="O26" i="2"/>
  <c r="O28" i="2"/>
  <c r="O30" i="2"/>
  <c r="O216" i="2"/>
  <c r="O37" i="2"/>
  <c r="O47" i="2"/>
  <c r="L56" i="2"/>
  <c r="M59" i="2"/>
  <c r="M68" i="2"/>
  <c r="M71" i="2"/>
  <c r="L74" i="2"/>
  <c r="O156" i="2"/>
  <c r="L185" i="2"/>
  <c r="O218" i="2"/>
  <c r="O237" i="2"/>
  <c r="M12" i="2"/>
  <c r="N151" i="2"/>
  <c r="M151" i="2"/>
  <c r="L151" i="2"/>
  <c r="Y151" i="2" s="1"/>
  <c r="Y111" i="16" s="1"/>
  <c r="AB111" i="16" s="1"/>
  <c r="N209" i="2"/>
  <c r="M209" i="2"/>
  <c r="L209" i="2"/>
  <c r="L156" i="2"/>
  <c r="M144" i="2"/>
  <c r="O144" i="2"/>
  <c r="N144" i="2"/>
  <c r="L144" i="2"/>
  <c r="M157" i="2"/>
  <c r="O157" i="2"/>
  <c r="N157" i="2"/>
  <c r="L157" i="2"/>
  <c r="L9" i="2"/>
  <c r="M47" i="2"/>
  <c r="N218" i="2"/>
  <c r="O153" i="2"/>
  <c r="N153" i="2"/>
  <c r="M153" i="2"/>
  <c r="O50" i="2"/>
  <c r="N50" i="2"/>
  <c r="O55" i="2"/>
  <c r="N55" i="2"/>
  <c r="O58" i="2"/>
  <c r="N58" i="2"/>
  <c r="O62" i="2"/>
  <c r="N62" i="2"/>
  <c r="M75" i="2"/>
  <c r="O75" i="2"/>
  <c r="M146" i="2"/>
  <c r="O146" i="2"/>
  <c r="N146" i="2"/>
  <c r="M154" i="2"/>
  <c r="O154" i="2"/>
  <c r="M286" i="2"/>
  <c r="O286" i="2"/>
  <c r="M290" i="2"/>
  <c r="O290" i="2"/>
  <c r="M166" i="2"/>
  <c r="O166" i="2"/>
  <c r="N166" i="2"/>
  <c r="M235" i="2"/>
  <c r="O235" i="2"/>
  <c r="M212" i="2"/>
  <c r="O212" i="2"/>
  <c r="O240" i="2"/>
  <c r="N240" i="2"/>
  <c r="M240" i="2"/>
  <c r="N13" i="2"/>
  <c r="N10" i="2"/>
  <c r="L25" i="2"/>
  <c r="L27" i="2"/>
  <c r="L29" i="2"/>
  <c r="Y29" i="2" s="1"/>
  <c r="L45" i="2"/>
  <c r="M50" i="2"/>
  <c r="L54" i="2"/>
  <c r="M56" i="2"/>
  <c r="M58" i="2"/>
  <c r="O59" i="2"/>
  <c r="L61" i="2"/>
  <c r="O68" i="2"/>
  <c r="L72" i="2"/>
  <c r="M74" i="2"/>
  <c r="N75" i="2"/>
  <c r="N78" i="2"/>
  <c r="O151" i="2"/>
  <c r="L158" i="2"/>
  <c r="L286" i="2"/>
  <c r="N292" i="2"/>
  <c r="N168" i="2"/>
  <c r="L235" i="2"/>
  <c r="O209" i="2"/>
  <c r="N214" i="2"/>
  <c r="L228" i="2"/>
  <c r="L246" i="2"/>
  <c r="Y246" i="2" s="1"/>
  <c r="AB246" i="2" s="1"/>
  <c r="O71" i="2"/>
  <c r="N71" i="2"/>
  <c r="N238" i="2"/>
  <c r="M238" i="2"/>
  <c r="L238" i="2"/>
  <c r="L38" i="2"/>
  <c r="O76" i="2"/>
  <c r="L76" i="2"/>
  <c r="O147" i="2"/>
  <c r="L147" i="2"/>
  <c r="O284" i="2"/>
  <c r="N284" i="2"/>
  <c r="O291" i="2"/>
  <c r="N291" i="2"/>
  <c r="O160" i="2"/>
  <c r="L160" i="2"/>
  <c r="O186" i="2"/>
  <c r="N186" i="2"/>
  <c r="O213" i="2"/>
  <c r="N213" i="2"/>
  <c r="M245" i="2"/>
  <c r="O245" i="2"/>
  <c r="N245" i="2"/>
  <c r="M13" i="2"/>
  <c r="M10" i="2"/>
  <c r="M25" i="2"/>
  <c r="M27" i="2"/>
  <c r="M29" i="2"/>
  <c r="N38" i="2"/>
  <c r="M45" i="2"/>
  <c r="M54" i="2"/>
  <c r="O56" i="2"/>
  <c r="L60" i="2"/>
  <c r="M61" i="2"/>
  <c r="L67" i="2"/>
  <c r="L69" i="2"/>
  <c r="M72" i="2"/>
  <c r="O74" i="2"/>
  <c r="M76" i="2"/>
  <c r="L143" i="2"/>
  <c r="N147" i="2"/>
  <c r="L152" i="2"/>
  <c r="M158" i="2"/>
  <c r="N286" i="2"/>
  <c r="L288" i="2"/>
  <c r="N235" i="2"/>
  <c r="L190" i="2"/>
  <c r="M228" i="2"/>
  <c r="O239" i="2"/>
  <c r="M216" i="2"/>
  <c r="O52" i="2"/>
  <c r="O65" i="2"/>
  <c r="N65" i="2"/>
  <c r="M210" i="2"/>
  <c r="N210" i="2"/>
  <c r="O80" i="2"/>
  <c r="N80" i="2"/>
  <c r="O51" i="2"/>
  <c r="N51" i="2"/>
  <c r="M142" i="2"/>
  <c r="L142" i="2"/>
  <c r="Y142" i="2" s="1"/>
  <c r="M148" i="2"/>
  <c r="O148" i="2"/>
  <c r="M159" i="2"/>
  <c r="O159" i="2"/>
  <c r="M162" i="2"/>
  <c r="O162" i="2"/>
  <c r="M292" i="2"/>
  <c r="L292" i="2"/>
  <c r="M167" i="2"/>
  <c r="O167" i="2"/>
  <c r="M187" i="2"/>
  <c r="L187" i="2"/>
  <c r="M206" i="2"/>
  <c r="O206" i="2"/>
  <c r="M214" i="2"/>
  <c r="L214" i="2"/>
  <c r="O234" i="2"/>
  <c r="N234" i="2"/>
  <c r="L234" i="2"/>
  <c r="L13" i="2"/>
  <c r="Y13" i="2" s="1"/>
  <c r="AB13" i="2" s="1"/>
  <c r="N25" i="2"/>
  <c r="N27" i="2"/>
  <c r="N29" i="2"/>
  <c r="O38" i="2"/>
  <c r="O45" i="2"/>
  <c r="O54" i="2"/>
  <c r="L188" i="2"/>
  <c r="L57" i="2"/>
  <c r="O61" i="2"/>
  <c r="L63" i="2"/>
  <c r="L65" i="2"/>
  <c r="M67" i="2"/>
  <c r="O72" i="2"/>
  <c r="L73" i="2"/>
  <c r="N76" i="2"/>
  <c r="N143" i="2"/>
  <c r="L148" i="2"/>
  <c r="Y148" i="2" s="1"/>
  <c r="Y27" i="20" s="1"/>
  <c r="Y66" i="20" s="1"/>
  <c r="O158" i="2"/>
  <c r="L284" i="2"/>
  <c r="L162" i="2"/>
  <c r="O288" i="2"/>
  <c r="L186" i="2"/>
  <c r="N190" i="2"/>
  <c r="L206" i="2"/>
  <c r="O210" i="2"/>
  <c r="O228" i="2"/>
  <c r="M234" i="2"/>
  <c r="L240" i="2"/>
  <c r="O46" i="2"/>
  <c r="N46" i="2"/>
  <c r="M243" i="2"/>
  <c r="N243" i="2"/>
  <c r="L243" i="2"/>
  <c r="O70" i="2"/>
  <c r="L218" i="2"/>
  <c r="O53" i="2"/>
  <c r="N53" i="2"/>
  <c r="M152" i="2"/>
  <c r="N152" i="2"/>
  <c r="N216" i="2"/>
  <c r="L53" i="2"/>
  <c r="N237" i="2"/>
  <c r="M77" i="2"/>
  <c r="L77" i="2"/>
  <c r="M149" i="2"/>
  <c r="L149" i="2"/>
  <c r="L155" i="2"/>
  <c r="O155" i="2"/>
  <c r="M287" i="2"/>
  <c r="L287" i="2"/>
  <c r="Y287" i="2" s="1"/>
  <c r="M168" i="2"/>
  <c r="L168" i="2"/>
  <c r="M207" i="2"/>
  <c r="L207" i="2"/>
  <c r="L215" i="2"/>
  <c r="O215" i="2"/>
  <c r="M236" i="2"/>
  <c r="O236" i="2"/>
  <c r="M246" i="2"/>
  <c r="O246" i="2"/>
  <c r="O14" i="2"/>
  <c r="O11" i="2"/>
  <c r="O9" i="2"/>
  <c r="O25" i="2"/>
  <c r="O29" i="2"/>
  <c r="N42" i="2"/>
  <c r="L43" i="2"/>
  <c r="L46" i="2"/>
  <c r="L52" i="2"/>
  <c r="L55" i="2"/>
  <c r="M188" i="2"/>
  <c r="L62" i="2"/>
  <c r="M63" i="2"/>
  <c r="M65" i="2"/>
  <c r="O67" i="2"/>
  <c r="L70" i="2"/>
  <c r="M73" i="2"/>
  <c r="O143" i="2"/>
  <c r="N148" i="2"/>
  <c r="L153" i="2"/>
  <c r="N155" i="2"/>
  <c r="M284" i="2"/>
  <c r="N162" i="2"/>
  <c r="L289" i="2"/>
  <c r="L166" i="2"/>
  <c r="M186" i="2"/>
  <c r="O190" i="2"/>
  <c r="N206" i="2"/>
  <c r="L211" i="2"/>
  <c r="N215" i="2"/>
  <c r="L236" i="2"/>
  <c r="O57" i="2"/>
  <c r="N57" i="2"/>
  <c r="M285" i="2"/>
  <c r="O285" i="2"/>
  <c r="N285" i="2"/>
  <c r="L285" i="2"/>
  <c r="I8" i="35" s="1"/>
  <c r="N156" i="2"/>
  <c r="O44" i="2"/>
  <c r="N44" i="2"/>
  <c r="O189" i="2"/>
  <c r="N189" i="2"/>
  <c r="O60" i="2"/>
  <c r="N60" i="2"/>
  <c r="O64" i="2"/>
  <c r="N64" i="2"/>
  <c r="O69" i="2"/>
  <c r="N69" i="2"/>
  <c r="M78" i="2"/>
  <c r="L78" i="2"/>
  <c r="M150" i="2"/>
  <c r="L150" i="2"/>
  <c r="M208" i="2"/>
  <c r="L208" i="2"/>
  <c r="M217" i="2"/>
  <c r="N217" i="2"/>
  <c r="L217" i="2"/>
  <c r="L12" i="2"/>
  <c r="Y12" i="2" s="1"/>
  <c r="AB12" i="2" s="1"/>
  <c r="O12" i="2"/>
  <c r="L37" i="2"/>
  <c r="M43" i="2"/>
  <c r="M46" i="2"/>
  <c r="L49" i="2"/>
  <c r="L51" i="2"/>
  <c r="M52" i="2"/>
  <c r="M55" i="2"/>
  <c r="O188" i="2"/>
  <c r="M62" i="2"/>
  <c r="O63" i="2"/>
  <c r="L66" i="2"/>
  <c r="M70" i="2"/>
  <c r="O73" i="2"/>
  <c r="L79" i="2"/>
  <c r="N142" i="2"/>
  <c r="L145" i="2"/>
  <c r="N149" i="2"/>
  <c r="L154" i="2"/>
  <c r="N287" i="2"/>
  <c r="L290" i="2"/>
  <c r="M160" i="2"/>
  <c r="N187" i="2"/>
  <c r="L204" i="2"/>
  <c r="N207" i="2"/>
  <c r="L212" i="2"/>
  <c r="Y212" i="2" s="1"/>
  <c r="AB212" i="2" s="1"/>
  <c r="O217" i="2"/>
  <c r="N236" i="2"/>
  <c r="O226" i="2" l="1"/>
  <c r="O140" i="2"/>
  <c r="M226" i="2"/>
  <c r="L226" i="2"/>
  <c r="N226" i="2"/>
  <c r="L140" i="2"/>
  <c r="N140" i="2"/>
  <c r="M140" i="2"/>
  <c r="N282" i="2"/>
  <c r="L282" i="2"/>
  <c r="N331" i="2"/>
  <c r="M331" i="2"/>
  <c r="L331" i="2"/>
  <c r="O331" i="2"/>
  <c r="O282" i="2"/>
  <c r="M282" i="2"/>
  <c r="Q154" i="2"/>
  <c r="Q153" i="2"/>
  <c r="Q289" i="2"/>
  <c r="Q145" i="2"/>
  <c r="Y291" i="2"/>
  <c r="AB291" i="2" s="1"/>
  <c r="Q291" i="2"/>
  <c r="Q160" i="2"/>
  <c r="Y152" i="2"/>
  <c r="Y112" i="16" s="1"/>
  <c r="AB112" i="16" s="1"/>
  <c r="Q152" i="2"/>
  <c r="Y286" i="2"/>
  <c r="AB286" i="2" s="1"/>
  <c r="Q286" i="2"/>
  <c r="Q157" i="2"/>
  <c r="Y156" i="2"/>
  <c r="AB156" i="2" s="1"/>
  <c r="Q156" i="2"/>
  <c r="Q167" i="2"/>
  <c r="Y143" i="2"/>
  <c r="AB143" i="2" s="1"/>
  <c r="Q143" i="2"/>
  <c r="Y150" i="2"/>
  <c r="Y110" i="16" s="1"/>
  <c r="AB110" i="16" s="1"/>
  <c r="Q150" i="2"/>
  <c r="Q236" i="2"/>
  <c r="Y288" i="2"/>
  <c r="AB288" i="2" s="1"/>
  <c r="Q288" i="2"/>
  <c r="Q158" i="2"/>
  <c r="Q162" i="2"/>
  <c r="Y147" i="2"/>
  <c r="Y109" i="16" s="1"/>
  <c r="AB109" i="16" s="1"/>
  <c r="Q147" i="2"/>
  <c r="Y290" i="2"/>
  <c r="AB290" i="2" s="1"/>
  <c r="Q290" i="2"/>
  <c r="Y285" i="2"/>
  <c r="AB285" i="2" s="1"/>
  <c r="Q285" i="2"/>
  <c r="Q155" i="2"/>
  <c r="Y149" i="2"/>
  <c r="AB149" i="2" s="1"/>
  <c r="Q149" i="2"/>
  <c r="Q284" i="2"/>
  <c r="Y144" i="2"/>
  <c r="Y108" i="16" s="1"/>
  <c r="AB108" i="16" s="1"/>
  <c r="Q144" i="2"/>
  <c r="M202" i="2"/>
  <c r="N202" i="2"/>
  <c r="O202" i="2"/>
  <c r="L202" i="2"/>
  <c r="Y28" i="18"/>
  <c r="AB17" i="30"/>
  <c r="AB29" i="2"/>
  <c r="Y15" i="16"/>
  <c r="AB15" i="16" s="1"/>
  <c r="AB14" i="16"/>
  <c r="Y14" i="2"/>
  <c r="AB14" i="2" s="1"/>
  <c r="Y284" i="2"/>
  <c r="AB27" i="20"/>
  <c r="L8" i="35"/>
  <c r="I9" i="35"/>
  <c r="L9" i="35" s="1"/>
  <c r="I12" i="35"/>
  <c r="L12" i="35" s="1"/>
  <c r="I11" i="35"/>
  <c r="L11" i="35" s="1"/>
  <c r="I10" i="35"/>
  <c r="L10" i="35" s="1"/>
  <c r="AB287" i="2"/>
  <c r="Y122" i="16"/>
  <c r="AB71" i="2"/>
  <c r="AB58" i="2"/>
  <c r="AB48" i="2"/>
  <c r="AB151" i="2"/>
  <c r="AB75" i="2"/>
  <c r="Y28" i="16"/>
  <c r="AB216" i="2"/>
  <c r="Y92" i="16"/>
  <c r="AB148" i="2"/>
  <c r="AB50" i="2"/>
  <c r="AB142" i="2"/>
  <c r="Y49" i="18"/>
  <c r="Y228" i="2"/>
  <c r="Y76" i="20" s="1"/>
  <c r="Y77" i="20" s="1"/>
  <c r="AB233" i="2"/>
  <c r="AB42" i="2"/>
  <c r="AB26" i="2"/>
  <c r="Y185" i="2"/>
  <c r="Y204" i="2"/>
  <c r="Y25" i="2"/>
  <c r="Y207" i="2"/>
  <c r="Y88" i="16" s="1"/>
  <c r="AB88" i="16" s="1"/>
  <c r="Y63" i="2"/>
  <c r="Y72" i="2"/>
  <c r="Y61" i="16" s="1"/>
  <c r="AB61" i="16" s="1"/>
  <c r="Y239" i="2"/>
  <c r="Y237" i="2"/>
  <c r="Y159" i="2"/>
  <c r="Y115" i="16" s="1"/>
  <c r="AB115" i="16" s="1"/>
  <c r="Y80" i="2"/>
  <c r="Y67" i="2"/>
  <c r="Y37" i="2"/>
  <c r="Y53" i="2"/>
  <c r="Y186" i="2"/>
  <c r="Y214" i="2"/>
  <c r="Y292" i="2"/>
  <c r="Y45" i="2"/>
  <c r="Y56" i="2"/>
  <c r="Y47" i="2"/>
  <c r="I8" i="30"/>
  <c r="J8" i="30"/>
  <c r="Y211" i="2"/>
  <c r="Y213" i="2"/>
  <c r="Y60" i="2"/>
  <c r="Y57" i="16" s="1"/>
  <c r="AB57" i="16" s="1"/>
  <c r="Y154" i="2"/>
  <c r="Y113" i="16" s="1"/>
  <c r="AB113" i="16" s="1"/>
  <c r="Y155" i="2"/>
  <c r="Y218" i="2"/>
  <c r="Y91" i="16" s="1"/>
  <c r="AB91" i="16" s="1"/>
  <c r="Y240" i="2"/>
  <c r="Y162" i="2"/>
  <c r="Y118" i="16" s="1"/>
  <c r="AB118" i="16" s="1"/>
  <c r="Y57" i="2"/>
  <c r="Y190" i="2"/>
  <c r="Y82" i="20" s="1"/>
  <c r="AB82" i="20" s="1"/>
  <c r="Y76" i="2"/>
  <c r="Y158" i="2"/>
  <c r="Y116" i="16" s="1"/>
  <c r="AB116" i="16" s="1"/>
  <c r="Y74" i="2"/>
  <c r="Y166" i="2"/>
  <c r="Y101" i="16" s="1"/>
  <c r="Y55" i="2"/>
  <c r="Y73" i="2"/>
  <c r="Y188" i="2"/>
  <c r="Y27" i="2"/>
  <c r="AB27" i="2" s="1"/>
  <c r="Y9" i="2"/>
  <c r="AB9" i="2" s="1"/>
  <c r="Y244" i="2"/>
  <c r="AB244" i="2" s="1"/>
  <c r="Y64" i="2"/>
  <c r="Y167" i="2"/>
  <c r="Y62" i="2"/>
  <c r="Y39" i="18" s="1"/>
  <c r="Y61" i="2"/>
  <c r="Y58" i="16" s="1"/>
  <c r="AB58" i="16" s="1"/>
  <c r="Y153" i="2"/>
  <c r="Y70" i="2"/>
  <c r="Y168" i="2"/>
  <c r="Y66" i="2"/>
  <c r="Y59" i="16" s="1"/>
  <c r="AB59" i="16" s="1"/>
  <c r="Y208" i="2"/>
  <c r="Y52" i="2"/>
  <c r="Y243" i="2"/>
  <c r="Y187" i="2"/>
  <c r="Y81" i="20" s="1"/>
  <c r="AB81" i="20" s="1"/>
  <c r="Y38" i="2"/>
  <c r="Y20" i="16" s="1"/>
  <c r="Y157" i="2"/>
  <c r="Y114" i="16" s="1"/>
  <c r="AB114" i="16" s="1"/>
  <c r="Y189" i="2"/>
  <c r="Y145" i="2"/>
  <c r="Y51" i="2"/>
  <c r="Y26" i="30" s="1"/>
  <c r="AB26" i="30" s="1"/>
  <c r="Y49" i="2"/>
  <c r="Y78" i="2"/>
  <c r="Y23" i="30" s="1"/>
  <c r="AB23" i="30" s="1"/>
  <c r="Y236" i="2"/>
  <c r="Y289" i="2"/>
  <c r="Y46" i="2"/>
  <c r="Y55" i="16" s="1"/>
  <c r="AB55" i="16" s="1"/>
  <c r="Y77" i="2"/>
  <c r="Y234" i="2"/>
  <c r="Y238" i="2"/>
  <c r="Y54" i="2"/>
  <c r="Y56" i="16" s="1"/>
  <c r="AB56" i="16" s="1"/>
  <c r="Y209" i="2"/>
  <c r="Y68" i="2"/>
  <c r="Y60" i="16" s="1"/>
  <c r="AB60" i="16" s="1"/>
  <c r="Y44" i="2"/>
  <c r="Y54" i="16" s="1"/>
  <c r="AB54" i="16" s="1"/>
  <c r="Y217" i="2"/>
  <c r="Y79" i="2"/>
  <c r="Y27" i="30" s="1"/>
  <c r="AB27" i="30" s="1"/>
  <c r="Y43" i="2"/>
  <c r="Y29" i="18" s="1"/>
  <c r="Y215" i="2"/>
  <c r="Y206" i="2"/>
  <c r="Y65" i="2"/>
  <c r="Y22" i="30" s="1"/>
  <c r="AB22" i="30" s="1"/>
  <c r="Y69" i="2"/>
  <c r="Y160" i="2"/>
  <c r="Y117" i="16" s="1"/>
  <c r="AB117" i="16" s="1"/>
  <c r="Y235" i="2"/>
  <c r="Y59" i="2"/>
  <c r="Y72" i="20"/>
  <c r="Y14" i="30"/>
  <c r="AB14" i="30" s="1"/>
  <c r="Y25" i="14"/>
  <c r="Z8" i="18"/>
  <c r="Y10" i="18"/>
  <c r="Z18" i="18"/>
  <c r="Y9" i="14"/>
  <c r="Y10" i="14" s="1"/>
  <c r="Z9" i="14"/>
  <c r="Z10" i="14" s="1"/>
  <c r="Z26" i="14"/>
  <c r="Z56" i="14" s="1"/>
  <c r="Z13" i="18"/>
  <c r="Z12" i="18"/>
  <c r="Z9" i="18"/>
  <c r="Z11" i="18"/>
  <c r="Z17" i="18"/>
  <c r="J19" i="2"/>
  <c r="I19" i="2"/>
  <c r="G299" i="2"/>
  <c r="Y76" i="18" l="1"/>
  <c r="Y226" i="2"/>
  <c r="Y140" i="2"/>
  <c r="Y282" i="2"/>
  <c r="AB144" i="2"/>
  <c r="Y125" i="16"/>
  <c r="Y123" i="16"/>
  <c r="Y120" i="16"/>
  <c r="Y126" i="16"/>
  <c r="Y331" i="2"/>
  <c r="Y55" i="18"/>
  <c r="AB152" i="2"/>
  <c r="AB238" i="2"/>
  <c r="Y70" i="20"/>
  <c r="AB70" i="20" s="1"/>
  <c r="AB240" i="2"/>
  <c r="Y71" i="20"/>
  <c r="AB71" i="20" s="1"/>
  <c r="AB101" i="16"/>
  <c r="Y105" i="16"/>
  <c r="Z22" i="18"/>
  <c r="Z15" i="18"/>
  <c r="Y121" i="16"/>
  <c r="AB150" i="2"/>
  <c r="AB147" i="2"/>
  <c r="Y52" i="18"/>
  <c r="Y50" i="18"/>
  <c r="Y68" i="18"/>
  <c r="Y202" i="2"/>
  <c r="AB284" i="2"/>
  <c r="Y21" i="30"/>
  <c r="AB21" i="30" s="1"/>
  <c r="Y20" i="30"/>
  <c r="AB20" i="16"/>
  <c r="Y23" i="16"/>
  <c r="AB76" i="20"/>
  <c r="AB77" i="20" s="1"/>
  <c r="Y18" i="16"/>
  <c r="Y107" i="16"/>
  <c r="Y13" i="14"/>
  <c r="AB13" i="14" s="1"/>
  <c r="N7" i="35"/>
  <c r="AB235" i="2"/>
  <c r="Y80" i="20"/>
  <c r="Y87" i="20" s="1"/>
  <c r="AB234" i="2"/>
  <c r="Y23" i="20"/>
  <c r="L15" i="35"/>
  <c r="K20" i="35" s="1"/>
  <c r="L21" i="35" s="1"/>
  <c r="L22" i="35" s="1"/>
  <c r="L26" i="35" s="1"/>
  <c r="L28" i="35" s="1"/>
  <c r="Y18" i="18"/>
  <c r="M35" i="2"/>
  <c r="N40" i="2"/>
  <c r="L35" i="2"/>
  <c r="M40" i="2"/>
  <c r="O35" i="2"/>
  <c r="Y9" i="18"/>
  <c r="AB59" i="2"/>
  <c r="Y41" i="18"/>
  <c r="AB209" i="2"/>
  <c r="Y78" i="18"/>
  <c r="AB38" i="2"/>
  <c r="AB74" i="2"/>
  <c r="Y27" i="16"/>
  <c r="AB218" i="2"/>
  <c r="AB53" i="2"/>
  <c r="Y36" i="18"/>
  <c r="AB159" i="2"/>
  <c r="AB70" i="2"/>
  <c r="AB54" i="2"/>
  <c r="Y37" i="18"/>
  <c r="AB78" i="2"/>
  <c r="AB153" i="2"/>
  <c r="Y53" i="18"/>
  <c r="AB158" i="2"/>
  <c r="AB61" i="2"/>
  <c r="AB188" i="2"/>
  <c r="Y70" i="18"/>
  <c r="AB76" i="2"/>
  <c r="AB47" i="2"/>
  <c r="Y32" i="18"/>
  <c r="AB160" i="2"/>
  <c r="AB79" i="2"/>
  <c r="AB187" i="2"/>
  <c r="AB155" i="2"/>
  <c r="Y54" i="18"/>
  <c r="AB69" i="2"/>
  <c r="Y25" i="16"/>
  <c r="Y34" i="18"/>
  <c r="AB73" i="2"/>
  <c r="Y26" i="16"/>
  <c r="AB56" i="2"/>
  <c r="Y24" i="18"/>
  <c r="Y26" i="18" s="1"/>
  <c r="AB72" i="2"/>
  <c r="AB49" i="2"/>
  <c r="AB65" i="2"/>
  <c r="AB217" i="2"/>
  <c r="Y90" i="16"/>
  <c r="AB51" i="2"/>
  <c r="Y33" i="18"/>
  <c r="AB52" i="2"/>
  <c r="Y35" i="18"/>
  <c r="AB62" i="2"/>
  <c r="Y43" i="18"/>
  <c r="AB55" i="2"/>
  <c r="AB190" i="2"/>
  <c r="AB154" i="2"/>
  <c r="AB45" i="2"/>
  <c r="Y31" i="18"/>
  <c r="Y40" i="18"/>
  <c r="AB63" i="2"/>
  <c r="Y44" i="18"/>
  <c r="AB206" i="2"/>
  <c r="Y77" i="18"/>
  <c r="AB44" i="2"/>
  <c r="Y30" i="18"/>
  <c r="AB77" i="2"/>
  <c r="AB145" i="2"/>
  <c r="Y51" i="18"/>
  <c r="AB208" i="2"/>
  <c r="Y87" i="16"/>
  <c r="AB167" i="2"/>
  <c r="Y59" i="18"/>
  <c r="AB166" i="2"/>
  <c r="AB57" i="2"/>
  <c r="Y38" i="18"/>
  <c r="AB60" i="2"/>
  <c r="Y42" i="18"/>
  <c r="AB292" i="2"/>
  <c r="Y127" i="16"/>
  <c r="AB67" i="2"/>
  <c r="AB207" i="2"/>
  <c r="AB68" i="2"/>
  <c r="AB46" i="2"/>
  <c r="AB189" i="2"/>
  <c r="Y71" i="18"/>
  <c r="AB66" i="2"/>
  <c r="AB64" i="2"/>
  <c r="AB162" i="2"/>
  <c r="AB213" i="2"/>
  <c r="Y80" i="18"/>
  <c r="AB214" i="2"/>
  <c r="Y89" i="16"/>
  <c r="AB215" i="2"/>
  <c r="Y81" i="18"/>
  <c r="AB289" i="2"/>
  <c r="Y124" i="16"/>
  <c r="AB157" i="2"/>
  <c r="AB168" i="2"/>
  <c r="Y60" i="18"/>
  <c r="AB211" i="2"/>
  <c r="Y79" i="18"/>
  <c r="AB186" i="2"/>
  <c r="Y69" i="18"/>
  <c r="AB80" i="2"/>
  <c r="Y29" i="16"/>
  <c r="Y35" i="2"/>
  <c r="AB72" i="20"/>
  <c r="AB25" i="2"/>
  <c r="AB204" i="2"/>
  <c r="AB243" i="2"/>
  <c r="AB282" i="2" s="1"/>
  <c r="AB37" i="2"/>
  <c r="AB185" i="2"/>
  <c r="AB228" i="2"/>
  <c r="Y12" i="20"/>
  <c r="AB12" i="20" s="1"/>
  <c r="AB237" i="2"/>
  <c r="Y24" i="20"/>
  <c r="AB24" i="20" s="1"/>
  <c r="AB239" i="2"/>
  <c r="AB43" i="2"/>
  <c r="Y11" i="20"/>
  <c r="Y21" i="20" s="1"/>
  <c r="AB236" i="2"/>
  <c r="AB15" i="30"/>
  <c r="Y12" i="14"/>
  <c r="Y15" i="30"/>
  <c r="Y26" i="14"/>
  <c r="Y56" i="14" s="1"/>
  <c r="Y17" i="18"/>
  <c r="X267" i="18"/>
  <c r="Z10" i="21"/>
  <c r="Z12" i="21" s="1"/>
  <c r="Y11" i="18"/>
  <c r="Y12" i="18"/>
  <c r="Y13" i="18"/>
  <c r="R19" i="2"/>
  <c r="R8" i="30" s="1"/>
  <c r="R10" i="30" s="1"/>
  <c r="G300" i="2"/>
  <c r="AB226" i="2" l="1"/>
  <c r="AB140" i="2"/>
  <c r="Y98" i="16"/>
  <c r="Y47" i="18"/>
  <c r="Y84" i="16"/>
  <c r="Y165" i="16"/>
  <c r="AB331" i="2"/>
  <c r="Y22" i="18"/>
  <c r="Y74" i="20"/>
  <c r="Z85" i="18"/>
  <c r="R8" i="23" s="1"/>
  <c r="Y61" i="18"/>
  <c r="Y83" i="18"/>
  <c r="Y57" i="18"/>
  <c r="Y74" i="18"/>
  <c r="AB202" i="2"/>
  <c r="Y36" i="30"/>
  <c r="Y38" i="30" s="1"/>
  <c r="AB20" i="30"/>
  <c r="AB36" i="30" s="1"/>
  <c r="AB38" i="30" s="1"/>
  <c r="AB23" i="16"/>
  <c r="Z180" i="16"/>
  <c r="R9" i="23" s="1"/>
  <c r="AB23" i="20"/>
  <c r="Y25" i="20"/>
  <c r="Y17" i="14"/>
  <c r="Y58" i="14" s="1"/>
  <c r="AB80" i="20"/>
  <c r="K40" i="35"/>
  <c r="H32" i="35"/>
  <c r="H33" i="35" s="1"/>
  <c r="H34" i="35" s="1"/>
  <c r="H35" i="35" s="1"/>
  <c r="H36" i="35" s="1"/>
  <c r="F32" i="35"/>
  <c r="K32" i="35" s="1"/>
  <c r="O40" i="2"/>
  <c r="Y164" i="2"/>
  <c r="AB40" i="2"/>
  <c r="AB164" i="2" s="1"/>
  <c r="L40" i="2"/>
  <c r="AB35" i="2"/>
  <c r="Y10" i="21"/>
  <c r="Y12" i="21" s="1"/>
  <c r="AB11" i="20"/>
  <c r="AB21" i="20" s="1"/>
  <c r="V8" i="30"/>
  <c r="V10" i="30" s="1"/>
  <c r="V19" i="2"/>
  <c r="AC19" i="2" s="1"/>
  <c r="Q292" i="2"/>
  <c r="H26" i="14"/>
  <c r="H25" i="14"/>
  <c r="Q246" i="2"/>
  <c r="Q12" i="23" l="1"/>
  <c r="T12" i="23" s="1"/>
  <c r="Y89" i="20"/>
  <c r="Y180" i="16"/>
  <c r="Q9" i="23" s="1"/>
  <c r="AB25" i="20"/>
  <c r="F33" i="35"/>
  <c r="K33" i="35" s="1"/>
  <c r="K43" i="35"/>
  <c r="L46" i="35"/>
  <c r="N164" i="2"/>
  <c r="AB173" i="2"/>
  <c r="Y173" i="2"/>
  <c r="L164" i="2"/>
  <c r="N173" i="2"/>
  <c r="M164" i="2"/>
  <c r="O164" i="2"/>
  <c r="O173" i="2"/>
  <c r="L173" i="2"/>
  <c r="AC8" i="30"/>
  <c r="Q10" i="23"/>
  <c r="F34" i="35" l="1"/>
  <c r="K34" i="35" s="1"/>
  <c r="M173" i="2"/>
  <c r="L231" i="2"/>
  <c r="G194" i="26"/>
  <c r="Q11" i="23"/>
  <c r="M11" i="23"/>
  <c r="AC10" i="30"/>
  <c r="G301" i="2"/>
  <c r="Q228" i="2"/>
  <c r="F35" i="35" l="1"/>
  <c r="K35" i="35" s="1"/>
  <c r="L241" i="2"/>
  <c r="Y231" i="2"/>
  <c r="G302" i="2"/>
  <c r="F36" i="35" l="1"/>
  <c r="K36" i="35" s="1"/>
  <c r="L38" i="35" s="1"/>
  <c r="L51" i="35" s="1"/>
  <c r="L54" i="35" s="1"/>
  <c r="L61" i="35" s="1"/>
  <c r="L62" i="35" s="1"/>
  <c r="M231" i="2"/>
  <c r="Y241" i="2"/>
  <c r="AB231" i="2"/>
  <c r="AB241" i="2" s="1"/>
  <c r="H80" i="18"/>
  <c r="H81" i="18"/>
  <c r="H77" i="18"/>
  <c r="H78" i="18"/>
  <c r="H79" i="18"/>
  <c r="H76" i="18"/>
  <c r="H69" i="18"/>
  <c r="H68" i="18"/>
  <c r="H59" i="18"/>
  <c r="H60" i="18"/>
  <c r="H53" i="18"/>
  <c r="H54" i="18"/>
  <c r="H55" i="18"/>
  <c r="H56" i="18"/>
  <c r="H50" i="18"/>
  <c r="H51" i="18"/>
  <c r="H52" i="18"/>
  <c r="H49" i="18"/>
  <c r="H29" i="16"/>
  <c r="H71" i="18"/>
  <c r="H38" i="18"/>
  <c r="H39" i="18"/>
  <c r="H40" i="18"/>
  <c r="H41" i="18"/>
  <c r="H42" i="18"/>
  <c r="H43" i="18"/>
  <c r="H44" i="18"/>
  <c r="H25" i="16"/>
  <c r="H26" i="16"/>
  <c r="H27" i="16"/>
  <c r="H28" i="16"/>
  <c r="H8" i="2"/>
  <c r="N9" i="35" l="1"/>
  <c r="N8" i="35"/>
  <c r="M241" i="2"/>
  <c r="O231" i="2"/>
  <c r="N231" i="2"/>
  <c r="G99" i="2"/>
  <c r="H31" i="18"/>
  <c r="H24" i="18"/>
  <c r="H18" i="18"/>
  <c r="H9" i="18"/>
  <c r="I9" i="18" s="1"/>
  <c r="H28" i="18"/>
  <c r="H37" i="18"/>
  <c r="H11" i="18"/>
  <c r="I11" i="18" s="1"/>
  <c r="H19" i="18"/>
  <c r="H10" i="18"/>
  <c r="I10" i="18" s="1"/>
  <c r="H13" i="18"/>
  <c r="I13" i="18" s="1"/>
  <c r="H36" i="18"/>
  <c r="H12" i="18"/>
  <c r="I12" i="18" s="1"/>
  <c r="H29" i="18"/>
  <c r="H35" i="18"/>
  <c r="H32" i="18"/>
  <c r="H17" i="18"/>
  <c r="I17" i="18" s="1"/>
  <c r="H30" i="18"/>
  <c r="H34" i="18"/>
  <c r="H8" i="18"/>
  <c r="I8" i="18" s="1"/>
  <c r="H70" i="18"/>
  <c r="H33" i="18"/>
  <c r="Y12" i="3"/>
  <c r="Q77" i="2"/>
  <c r="Q78" i="2"/>
  <c r="Q79" i="2"/>
  <c r="Q80" i="2"/>
  <c r="Q245" i="2"/>
  <c r="Q76" i="2"/>
  <c r="O241" i="2" l="1"/>
  <c r="N241" i="2"/>
  <c r="G303" i="2"/>
  <c r="G18" i="18"/>
  <c r="G304" i="2" l="1"/>
  <c r="G19" i="18"/>
  <c r="I18" i="18"/>
  <c r="G100" i="2" l="1"/>
  <c r="I19" i="18"/>
  <c r="G255" i="2" l="1"/>
  <c r="G20" i="18"/>
  <c r="Q218" i="2"/>
  <c r="Q243" i="2"/>
  <c r="Q244" i="2"/>
  <c r="D243" i="2"/>
  <c r="Q282" i="2" l="1"/>
  <c r="D13" i="14"/>
  <c r="D156" i="26" s="1"/>
  <c r="G101" i="2"/>
  <c r="I20" i="18"/>
  <c r="D12" i="14"/>
  <c r="D28" i="16"/>
  <c r="D21" i="26" s="1"/>
  <c r="D27" i="16"/>
  <c r="AA14" i="3"/>
  <c r="Y14" i="3"/>
  <c r="AB13" i="3"/>
  <c r="V13" i="3"/>
  <c r="U13" i="3"/>
  <c r="T13" i="3"/>
  <c r="P13" i="3"/>
  <c r="O13" i="3"/>
  <c r="N13" i="3"/>
  <c r="M13" i="3"/>
  <c r="X12" i="3"/>
  <c r="V12" i="3"/>
  <c r="M8" i="23" s="1"/>
  <c r="U12" i="3"/>
  <c r="T12" i="3"/>
  <c r="P12" i="3"/>
  <c r="O12" i="3"/>
  <c r="N12" i="3"/>
  <c r="M12" i="3"/>
  <c r="AA9" i="3"/>
  <c r="Z9" i="3"/>
  <c r="Y9" i="3"/>
  <c r="X9" i="3"/>
  <c r="V9" i="3"/>
  <c r="U9" i="3"/>
  <c r="T9" i="3"/>
  <c r="Q9" i="3"/>
  <c r="P9" i="3"/>
  <c r="O9" i="3"/>
  <c r="N9" i="3"/>
  <c r="M9" i="3"/>
  <c r="AB8" i="3"/>
  <c r="R8" i="3"/>
  <c r="I8" i="3"/>
  <c r="Q240" i="2"/>
  <c r="Q237" i="2"/>
  <c r="Q234" i="2"/>
  <c r="D234" i="2"/>
  <c r="D23" i="20" s="1"/>
  <c r="Q233" i="2"/>
  <c r="D233" i="2"/>
  <c r="D81" i="18"/>
  <c r="D61" i="17" s="1"/>
  <c r="Q213" i="2"/>
  <c r="D80" i="18"/>
  <c r="D60" i="17" s="1"/>
  <c r="Q212" i="2"/>
  <c r="Q211" i="2"/>
  <c r="D79" i="18"/>
  <c r="Q210" i="2"/>
  <c r="Q209" i="2"/>
  <c r="D78" i="18"/>
  <c r="Q208" i="2"/>
  <c r="Q207" i="2"/>
  <c r="Q206" i="2"/>
  <c r="D77" i="18"/>
  <c r="Q204" i="2"/>
  <c r="D204" i="2"/>
  <c r="D76" i="18" s="1"/>
  <c r="Q190" i="2"/>
  <c r="Q187" i="2"/>
  <c r="Q186" i="2"/>
  <c r="D186" i="2"/>
  <c r="D69" i="18" s="1"/>
  <c r="D48" i="17" s="1"/>
  <c r="Q235" i="2"/>
  <c r="Q185" i="2"/>
  <c r="D185" i="2"/>
  <c r="D68" i="18" s="1"/>
  <c r="D60" i="18"/>
  <c r="D59" i="18"/>
  <c r="D46" i="17" s="1"/>
  <c r="Q166" i="2"/>
  <c r="Q287" i="2"/>
  <c r="Q331" i="2" s="1"/>
  <c r="D56" i="18"/>
  <c r="Q159" i="2"/>
  <c r="Q38" i="2"/>
  <c r="D55" i="18"/>
  <c r="D54" i="18"/>
  <c r="D53" i="18"/>
  <c r="Q151" i="2"/>
  <c r="D52" i="18"/>
  <c r="Q148" i="2"/>
  <c r="Q146" i="2"/>
  <c r="D51" i="18"/>
  <c r="D50" i="18"/>
  <c r="D37" i="17" s="1"/>
  <c r="D49" i="18"/>
  <c r="D36" i="17" s="1"/>
  <c r="Q70" i="2"/>
  <c r="Q69" i="2"/>
  <c r="Q68" i="2"/>
  <c r="Q67" i="2"/>
  <c r="Q66" i="2"/>
  <c r="Q65" i="2"/>
  <c r="Q64" i="2"/>
  <c r="Q63" i="2"/>
  <c r="D44" i="18"/>
  <c r="D35" i="17" s="1"/>
  <c r="Q62" i="2"/>
  <c r="D43" i="18"/>
  <c r="Q61" i="2"/>
  <c r="Q60" i="2"/>
  <c r="D42" i="18"/>
  <c r="Q59" i="2"/>
  <c r="D41" i="18"/>
  <c r="D40" i="18"/>
  <c r="Q58" i="2"/>
  <c r="D39" i="18"/>
  <c r="Q57" i="2"/>
  <c r="D38" i="18"/>
  <c r="Q56" i="2"/>
  <c r="Q189" i="2"/>
  <c r="D71" i="18"/>
  <c r="Q188" i="2"/>
  <c r="D70" i="18"/>
  <c r="Q55" i="2"/>
  <c r="Q54" i="2"/>
  <c r="D37" i="18"/>
  <c r="Q53" i="2"/>
  <c r="D36" i="18"/>
  <c r="Q52" i="2"/>
  <c r="D35" i="18"/>
  <c r="D34" i="18"/>
  <c r="Q51" i="2"/>
  <c r="D33" i="18"/>
  <c r="Q50" i="2"/>
  <c r="Q49" i="2"/>
  <c r="Q47" i="2"/>
  <c r="D32" i="18"/>
  <c r="Q46" i="2"/>
  <c r="Q45" i="2"/>
  <c r="Q44" i="2"/>
  <c r="D30" i="18"/>
  <c r="Q43" i="2"/>
  <c r="D43" i="2"/>
  <c r="D42" i="2"/>
  <c r="Q37" i="2"/>
  <c r="F24" i="18"/>
  <c r="D24" i="18"/>
  <c r="D17" i="17" s="1"/>
  <c r="D92" i="16"/>
  <c r="D79" i="26" s="1"/>
  <c r="Q30" i="2"/>
  <c r="J30" i="2" s="1"/>
  <c r="K20" i="18" s="1"/>
  <c r="I30" i="2"/>
  <c r="D20" i="18"/>
  <c r="D15" i="17" s="1"/>
  <c r="Q29" i="2"/>
  <c r="J29" i="2" s="1"/>
  <c r="I29" i="2"/>
  <c r="Q28" i="2"/>
  <c r="J28" i="2" s="1"/>
  <c r="K19" i="18" s="1"/>
  <c r="I28" i="2"/>
  <c r="D19" i="18"/>
  <c r="D14" i="17" s="1"/>
  <c r="Q27" i="2"/>
  <c r="J27" i="2" s="1"/>
  <c r="K18" i="18" s="1"/>
  <c r="I27" i="2"/>
  <c r="D18" i="18"/>
  <c r="D13" i="17" s="1"/>
  <c r="Q26" i="2"/>
  <c r="J26" i="2" s="1"/>
  <c r="I26" i="2"/>
  <c r="D26" i="2"/>
  <c r="Q25" i="2"/>
  <c r="I25" i="2"/>
  <c r="D25" i="2"/>
  <c r="D17" i="18" s="1"/>
  <c r="D12" i="17" s="1"/>
  <c r="Q14" i="2"/>
  <c r="J14" i="2" s="1"/>
  <c r="K13" i="18" s="1"/>
  <c r="I14" i="2"/>
  <c r="D13" i="18"/>
  <c r="D10" i="17" s="1"/>
  <c r="Q13" i="2"/>
  <c r="J13" i="2" s="1"/>
  <c r="K12" i="18" s="1"/>
  <c r="I13" i="2"/>
  <c r="D12" i="18"/>
  <c r="D9" i="17" s="1"/>
  <c r="Q11" i="2"/>
  <c r="J11" i="2" s="1"/>
  <c r="K11" i="18" s="1"/>
  <c r="I11" i="2"/>
  <c r="D11" i="18"/>
  <c r="D8" i="17" s="1"/>
  <c r="Q12" i="2"/>
  <c r="Q10" i="2"/>
  <c r="J10" i="2" s="1"/>
  <c r="K10" i="18" s="1"/>
  <c r="I10" i="2"/>
  <c r="D10" i="18"/>
  <c r="D7" i="17" s="1"/>
  <c r="Q9" i="2"/>
  <c r="J9" i="2" s="1"/>
  <c r="K9" i="18" s="1"/>
  <c r="I9" i="2"/>
  <c r="D9" i="2"/>
  <c r="D9" i="18" s="1"/>
  <c r="D6" i="17" s="1"/>
  <c r="I8" i="2"/>
  <c r="D8" i="2"/>
  <c r="D8" i="18" s="1"/>
  <c r="D5" i="17" s="1"/>
  <c r="D53" i="17" l="1"/>
  <c r="D47" i="17"/>
  <c r="D72" i="20"/>
  <c r="D60" i="38" s="1"/>
  <c r="D56" i="17"/>
  <c r="D59" i="17"/>
  <c r="D42" i="17"/>
  <c r="D12" i="38"/>
  <c r="D15" i="38"/>
  <c r="D56" i="38"/>
  <c r="D57" i="38"/>
  <c r="K15" i="18"/>
  <c r="D55" i="26"/>
  <c r="D78" i="26"/>
  <c r="D50" i="17"/>
  <c r="D25" i="17"/>
  <c r="D31" i="17"/>
  <c r="D40" i="17"/>
  <c r="D49" i="17"/>
  <c r="D51" i="17"/>
  <c r="D52" i="17"/>
  <c r="D34" i="17"/>
  <c r="D45" i="17"/>
  <c r="D55" i="17"/>
  <c r="D58" i="17"/>
  <c r="D32" i="17"/>
  <c r="D41" i="17"/>
  <c r="D33" i="17"/>
  <c r="D38" i="17"/>
  <c r="D39" i="17"/>
  <c r="D43" i="17"/>
  <c r="D44" i="17"/>
  <c r="D54" i="17"/>
  <c r="D57" i="17"/>
  <c r="AB9" i="3"/>
  <c r="Q202" i="2"/>
  <c r="D23" i="17"/>
  <c r="D24" i="17"/>
  <c r="D29" i="18"/>
  <c r="D20" i="17" s="1"/>
  <c r="D28" i="18"/>
  <c r="D19" i="17" s="1"/>
  <c r="D26" i="17"/>
  <c r="D14" i="16"/>
  <c r="D11" i="26" s="1"/>
  <c r="D155" i="26"/>
  <c r="D162" i="26"/>
  <c r="D28" i="17"/>
  <c r="D33" i="26"/>
  <c r="D27" i="17"/>
  <c r="D29" i="17"/>
  <c r="D30" i="17"/>
  <c r="Z12" i="3"/>
  <c r="T14" i="3"/>
  <c r="U14" i="3"/>
  <c r="M13" i="23"/>
  <c r="V14" i="3"/>
  <c r="O11" i="18"/>
  <c r="N11" i="18"/>
  <c r="M11" i="18"/>
  <c r="L11" i="18"/>
  <c r="O13" i="18"/>
  <c r="N13" i="18"/>
  <c r="M13" i="18"/>
  <c r="L13" i="18"/>
  <c r="L19" i="18"/>
  <c r="N19" i="18"/>
  <c r="M19" i="18"/>
  <c r="O19" i="18"/>
  <c r="O20" i="18"/>
  <c r="N20" i="18"/>
  <c r="L20" i="18"/>
  <c r="M20" i="18"/>
  <c r="L10" i="18"/>
  <c r="N10" i="18"/>
  <c r="M10" i="18"/>
  <c r="O10" i="18"/>
  <c r="N12" i="18"/>
  <c r="O12" i="18"/>
  <c r="M12" i="18"/>
  <c r="L12" i="18"/>
  <c r="N18" i="18"/>
  <c r="O18" i="18"/>
  <c r="L18" i="18"/>
  <c r="M18" i="18"/>
  <c r="O9" i="18"/>
  <c r="N9" i="18"/>
  <c r="M9" i="18"/>
  <c r="L9" i="18"/>
  <c r="G102" i="2"/>
  <c r="R12" i="3"/>
  <c r="D31" i="18"/>
  <c r="D22" i="17" s="1"/>
  <c r="D9" i="14"/>
  <c r="D26" i="16"/>
  <c r="D20" i="26" s="1"/>
  <c r="D107" i="16"/>
  <c r="D89" i="26" s="1"/>
  <c r="D86" i="16"/>
  <c r="D25" i="16"/>
  <c r="D90" i="16"/>
  <c r="D120" i="16"/>
  <c r="D122" i="16"/>
  <c r="D87" i="16"/>
  <c r="D89" i="16"/>
  <c r="D75" i="26" s="1"/>
  <c r="D121" i="16"/>
  <c r="D102" i="26" s="1"/>
  <c r="X14" i="3"/>
  <c r="Q73" i="2"/>
  <c r="Q168" i="2"/>
  <c r="Q215" i="2"/>
  <c r="Q239" i="2"/>
  <c r="Q238" i="2"/>
  <c r="Q217" i="2"/>
  <c r="Q35" i="2"/>
  <c r="Q72" i="2"/>
  <c r="Q48" i="2"/>
  <c r="Q71" i="2"/>
  <c r="R11" i="2"/>
  <c r="R28" i="2"/>
  <c r="R9" i="2"/>
  <c r="R29" i="2"/>
  <c r="R15" i="16" s="1"/>
  <c r="V15" i="16" s="1"/>
  <c r="AC15" i="16" s="1"/>
  <c r="R13" i="2"/>
  <c r="R26" i="2"/>
  <c r="R14" i="16" s="1"/>
  <c r="V14" i="16" s="1"/>
  <c r="AC14" i="16" s="1"/>
  <c r="R27" i="2"/>
  <c r="R30" i="2"/>
  <c r="R10" i="2"/>
  <c r="Q216" i="2"/>
  <c r="R14" i="2"/>
  <c r="J25" i="2"/>
  <c r="Q214" i="2"/>
  <c r="K8" i="3"/>
  <c r="S8" i="3" s="1"/>
  <c r="S12" i="3" s="1"/>
  <c r="R9" i="3"/>
  <c r="R13" i="3"/>
  <c r="D101" i="26" l="1"/>
  <c r="D100" i="26"/>
  <c r="D17" i="26"/>
  <c r="Q226" i="2"/>
  <c r="D103" i="26"/>
  <c r="D104" i="26"/>
  <c r="D76" i="26"/>
  <c r="D77" i="26"/>
  <c r="D19" i="26"/>
  <c r="D48" i="26"/>
  <c r="D72" i="26"/>
  <c r="D18" i="26"/>
  <c r="D64" i="26"/>
  <c r="D88" i="26"/>
  <c r="T18" i="18"/>
  <c r="R18" i="18"/>
  <c r="T9" i="18"/>
  <c r="R9" i="18"/>
  <c r="T19" i="18"/>
  <c r="R19" i="18"/>
  <c r="T10" i="18"/>
  <c r="R10" i="18"/>
  <c r="T12" i="18"/>
  <c r="R12" i="18"/>
  <c r="T13" i="18"/>
  <c r="R13" i="18"/>
  <c r="T11" i="18"/>
  <c r="R11" i="18"/>
  <c r="T20" i="18"/>
  <c r="R20" i="18"/>
  <c r="D50" i="26"/>
  <c r="D74" i="26"/>
  <c r="D53" i="26"/>
  <c r="D49" i="26"/>
  <c r="D73" i="26"/>
  <c r="D21" i="17"/>
  <c r="D154" i="26"/>
  <c r="D51" i="26"/>
  <c r="D52" i="26"/>
  <c r="D44" i="26"/>
  <c r="D13" i="26"/>
  <c r="Q40" i="2"/>
  <c r="D15" i="26"/>
  <c r="D43" i="26"/>
  <c r="D16" i="26"/>
  <c r="D32" i="26"/>
  <c r="D31" i="26"/>
  <c r="D37" i="26"/>
  <c r="D39" i="26"/>
  <c r="D38" i="26"/>
  <c r="D41" i="26"/>
  <c r="D30" i="26"/>
  <c r="D29" i="26"/>
  <c r="D42" i="26"/>
  <c r="D40" i="26"/>
  <c r="D14" i="26"/>
  <c r="AB12" i="3"/>
  <c r="Z14" i="3"/>
  <c r="D7" i="26"/>
  <c r="D12" i="26"/>
  <c r="Q12" i="18"/>
  <c r="J12" i="18" s="1"/>
  <c r="Q11" i="18"/>
  <c r="J11" i="18" s="1"/>
  <c r="Q9" i="18"/>
  <c r="J9" i="18" s="1"/>
  <c r="Q13" i="18"/>
  <c r="J13" i="18" s="1"/>
  <c r="R25" i="2"/>
  <c r="R17" i="18" s="1"/>
  <c r="K17" i="18"/>
  <c r="V28" i="2"/>
  <c r="S19" i="18"/>
  <c r="V10" i="2"/>
  <c r="S10" i="18"/>
  <c r="V11" i="2"/>
  <c r="AC11" i="2" s="1"/>
  <c r="S11" i="18"/>
  <c r="Q18" i="18"/>
  <c r="J18" i="18" s="1"/>
  <c r="Q20" i="18"/>
  <c r="J20" i="18" s="1"/>
  <c r="V26" i="2"/>
  <c r="V13" i="2"/>
  <c r="S12" i="18"/>
  <c r="V29" i="2"/>
  <c r="V30" i="2"/>
  <c r="S20" i="18"/>
  <c r="V14" i="2"/>
  <c r="S13" i="18"/>
  <c r="V27" i="2"/>
  <c r="S18" i="18"/>
  <c r="Q10" i="18"/>
  <c r="J10" i="18" s="1"/>
  <c r="V9" i="2"/>
  <c r="AC9" i="2" s="1"/>
  <c r="S9" i="18"/>
  <c r="Q19" i="18"/>
  <c r="J19" i="18" s="1"/>
  <c r="R14" i="3"/>
  <c r="S9" i="3"/>
  <c r="S13" i="3"/>
  <c r="W13" i="3" s="1"/>
  <c r="AC13" i="3" s="1"/>
  <c r="W8" i="3"/>
  <c r="AC8" i="3" s="1"/>
  <c r="S13" i="23" l="1"/>
  <c r="AB14" i="3"/>
  <c r="AC26" i="2"/>
  <c r="X20" i="18"/>
  <c r="AC30" i="2"/>
  <c r="X19" i="18"/>
  <c r="AC28" i="2"/>
  <c r="X13" i="18"/>
  <c r="AC14" i="2"/>
  <c r="X10" i="18"/>
  <c r="AC10" i="2"/>
  <c r="AC29" i="2"/>
  <c r="X18" i="18"/>
  <c r="AC27" i="2"/>
  <c r="X12" i="18"/>
  <c r="AC13" i="2"/>
  <c r="V25" i="2"/>
  <c r="V11" i="18"/>
  <c r="V13" i="18"/>
  <c r="V9" i="18"/>
  <c r="V12" i="18"/>
  <c r="V18" i="18"/>
  <c r="V19" i="18"/>
  <c r="X9" i="18"/>
  <c r="X17" i="18"/>
  <c r="S8" i="18"/>
  <c r="S15" i="18" s="1"/>
  <c r="T8" i="18"/>
  <c r="T15" i="18" s="1"/>
  <c r="S17" i="18"/>
  <c r="T17" i="18"/>
  <c r="W8" i="18"/>
  <c r="X8" i="18"/>
  <c r="X11" i="18"/>
  <c r="W9" i="18"/>
  <c r="V20" i="18"/>
  <c r="V10" i="18"/>
  <c r="M17" i="18"/>
  <c r="O17" i="18"/>
  <c r="N17" i="18"/>
  <c r="L17" i="18"/>
  <c r="G103" i="2"/>
  <c r="U17" i="23"/>
  <c r="S14" i="3"/>
  <c r="W12" i="3"/>
  <c r="AC9" i="3"/>
  <c r="W9" i="3"/>
  <c r="X15" i="18" l="1"/>
  <c r="W15" i="18"/>
  <c r="W85" i="18" s="1"/>
  <c r="O8" i="23" s="1"/>
  <c r="AB10" i="18"/>
  <c r="AC10" i="18" s="1"/>
  <c r="G7" i="17" s="1"/>
  <c r="AB20" i="18"/>
  <c r="AC20" i="18" s="1"/>
  <c r="G15" i="17" s="1"/>
  <c r="AB17" i="18"/>
  <c r="AB19" i="18"/>
  <c r="AC19" i="18" s="1"/>
  <c r="AB11" i="18"/>
  <c r="AB18" i="18"/>
  <c r="AC18" i="18" s="1"/>
  <c r="G13" i="17" s="1"/>
  <c r="AB12" i="18"/>
  <c r="AC12" i="18" s="1"/>
  <c r="G9" i="17" s="1"/>
  <c r="AB13" i="18"/>
  <c r="AC13" i="18" s="1"/>
  <c r="G10" i="17" s="1"/>
  <c r="AB9" i="18"/>
  <c r="AC9" i="18" s="1"/>
  <c r="G6" i="17" s="1"/>
  <c r="AC25" i="2"/>
  <c r="Q17" i="18"/>
  <c r="G193" i="2"/>
  <c r="W14" i="3"/>
  <c r="AC12" i="3"/>
  <c r="G14" i="17" l="1"/>
  <c r="AC11" i="18"/>
  <c r="J17" i="18"/>
  <c r="G305" i="2"/>
  <c r="AC14" i="3"/>
  <c r="AF16" i="3" s="1"/>
  <c r="G8" i="17" l="1"/>
  <c r="G63" i="17"/>
  <c r="V17" i="18"/>
  <c r="AF18" i="3"/>
  <c r="G306" i="2"/>
  <c r="Q74" i="2"/>
  <c r="Q75" i="2"/>
  <c r="AC17" i="18" l="1"/>
  <c r="G308" i="2"/>
  <c r="G12" i="17" l="1"/>
  <c r="G142" i="16"/>
  <c r="I308" i="2"/>
  <c r="J308" i="2"/>
  <c r="K142" i="16" s="1"/>
  <c r="L142" i="16" l="1"/>
  <c r="O142" i="16"/>
  <c r="M142" i="16"/>
  <c r="N142" i="16"/>
  <c r="R308" i="2"/>
  <c r="G307" i="2"/>
  <c r="I142" i="16"/>
  <c r="T142" i="16" l="1"/>
  <c r="R142" i="16"/>
  <c r="V308" i="2"/>
  <c r="S142" i="16"/>
  <c r="Q142" i="16"/>
  <c r="J142" i="16" s="1"/>
  <c r="G104" i="2"/>
  <c r="AC308" i="2" l="1"/>
  <c r="V142" i="16"/>
  <c r="G309" i="2"/>
  <c r="AB142" i="16" l="1"/>
  <c r="AC142" i="16" s="1"/>
  <c r="G143" i="16"/>
  <c r="I309" i="2"/>
  <c r="J309" i="2"/>
  <c r="K143" i="16" s="1"/>
  <c r="G220" i="2"/>
  <c r="L143" i="16" l="1"/>
  <c r="N143" i="16"/>
  <c r="M143" i="16"/>
  <c r="O143" i="16"/>
  <c r="I220" i="2"/>
  <c r="G94" i="16"/>
  <c r="J220" i="2"/>
  <c r="K94" i="16" s="1"/>
  <c r="R309" i="2"/>
  <c r="I143" i="16"/>
  <c r="T143" i="16" l="1"/>
  <c r="R143" i="16"/>
  <c r="L94" i="16"/>
  <c r="O94" i="16"/>
  <c r="M94" i="16"/>
  <c r="N94" i="16"/>
  <c r="V309" i="2"/>
  <c r="S143" i="16"/>
  <c r="Q143" i="16"/>
  <c r="J143" i="16" s="1"/>
  <c r="I94" i="16"/>
  <c r="R220" i="2"/>
  <c r="G105" i="2"/>
  <c r="T94" i="16" l="1"/>
  <c r="R94" i="16"/>
  <c r="AC309" i="2"/>
  <c r="V143" i="16"/>
  <c r="V220" i="2"/>
  <c r="S94" i="16"/>
  <c r="Q94" i="16"/>
  <c r="J94" i="16" s="1"/>
  <c r="G43" i="16"/>
  <c r="I105" i="2"/>
  <c r="J105" i="2"/>
  <c r="K43" i="16" s="1"/>
  <c r="G106" i="2"/>
  <c r="AB143" i="16" l="1"/>
  <c r="AC143" i="16" s="1"/>
  <c r="AC220" i="2"/>
  <c r="V94" i="16"/>
  <c r="L43" i="16"/>
  <c r="O43" i="16"/>
  <c r="N43" i="16"/>
  <c r="M43" i="16"/>
  <c r="I43" i="16"/>
  <c r="G44" i="16"/>
  <c r="I106" i="2"/>
  <c r="J106" i="2"/>
  <c r="K44" i="16" s="1"/>
  <c r="R105" i="2"/>
  <c r="G107" i="2"/>
  <c r="G124" i="26" l="1"/>
  <c r="T43" i="16"/>
  <c r="R43" i="16"/>
  <c r="AB94" i="16"/>
  <c r="AC94" i="16" s="1"/>
  <c r="V105" i="2"/>
  <c r="S43" i="16"/>
  <c r="L44" i="16"/>
  <c r="M44" i="16"/>
  <c r="N44" i="16"/>
  <c r="O44" i="16"/>
  <c r="Q43" i="16"/>
  <c r="J43" i="16" s="1"/>
  <c r="R106" i="2"/>
  <c r="I44" i="16"/>
  <c r="I107" i="2"/>
  <c r="G45" i="16"/>
  <c r="J107" i="2"/>
  <c r="K45" i="16" s="1"/>
  <c r="G310" i="2"/>
  <c r="T44" i="16" l="1"/>
  <c r="R44" i="16"/>
  <c r="AC105" i="2"/>
  <c r="V106" i="2"/>
  <c r="S44" i="16"/>
  <c r="L45" i="16"/>
  <c r="O45" i="16"/>
  <c r="N45" i="16"/>
  <c r="M45" i="16"/>
  <c r="Q44" i="16"/>
  <c r="J44" i="16" s="1"/>
  <c r="V43" i="16"/>
  <c r="R107" i="2"/>
  <c r="I45" i="16"/>
  <c r="G144" i="16"/>
  <c r="I310" i="2"/>
  <c r="J310" i="2"/>
  <c r="K144" i="16" s="1"/>
  <c r="T45" i="16" l="1"/>
  <c r="R45" i="16"/>
  <c r="AB43" i="16"/>
  <c r="AC43" i="16" s="1"/>
  <c r="AC106" i="2"/>
  <c r="V44" i="16"/>
  <c r="L144" i="16"/>
  <c r="N144" i="16"/>
  <c r="M144" i="16"/>
  <c r="O144" i="16"/>
  <c r="V107" i="2"/>
  <c r="S45" i="16"/>
  <c r="Q45" i="16"/>
  <c r="J45" i="16" s="1"/>
  <c r="R310" i="2"/>
  <c r="I144" i="16"/>
  <c r="T144" i="16" l="1"/>
  <c r="R144" i="16"/>
  <c r="AB44" i="16"/>
  <c r="AC44" i="16" s="1"/>
  <c r="AC107" i="2"/>
  <c r="V310" i="2"/>
  <c r="S144" i="16"/>
  <c r="V45" i="16"/>
  <c r="Q144" i="16"/>
  <c r="J144" i="16" s="1"/>
  <c r="G312" i="2"/>
  <c r="G146" i="16" s="1"/>
  <c r="I146" i="16" l="1"/>
  <c r="J146" i="16"/>
  <c r="AB45" i="16"/>
  <c r="AC45" i="16" s="1"/>
  <c r="AC310" i="2"/>
  <c r="V144" i="16"/>
  <c r="I312" i="2"/>
  <c r="J312" i="2"/>
  <c r="G333" i="2"/>
  <c r="G29" i="20" s="1"/>
  <c r="I29" i="20" l="1"/>
  <c r="J29" i="20"/>
  <c r="AB144" i="16"/>
  <c r="AC144" i="16" s="1"/>
  <c r="R312" i="2"/>
  <c r="I333" i="2"/>
  <c r="J333" i="2"/>
  <c r="G108" i="2"/>
  <c r="G12" i="30" s="1"/>
  <c r="V312" i="2" l="1"/>
  <c r="R146" i="16"/>
  <c r="V146" i="16" s="1"/>
  <c r="AC146" i="16" s="1"/>
  <c r="I12" i="30"/>
  <c r="J12" i="30"/>
  <c r="R333" i="2"/>
  <c r="I108" i="2"/>
  <c r="J108" i="2"/>
  <c r="G169" i="2"/>
  <c r="G125" i="26" l="1"/>
  <c r="R29" i="20"/>
  <c r="V29" i="20" s="1"/>
  <c r="AC312" i="2"/>
  <c r="R108" i="2"/>
  <c r="R12" i="30" s="1"/>
  <c r="V12" i="30" s="1"/>
  <c r="AC12" i="30" s="1"/>
  <c r="I169" i="2"/>
  <c r="G100" i="16"/>
  <c r="J169" i="2"/>
  <c r="K100" i="16" s="1"/>
  <c r="V333" i="2"/>
  <c r="G196" i="26" l="1"/>
  <c r="R169" i="2"/>
  <c r="R100" i="16"/>
  <c r="AC29" i="20"/>
  <c r="G195" i="26"/>
  <c r="AC333" i="2"/>
  <c r="O100" i="16"/>
  <c r="N100" i="16"/>
  <c r="L100" i="16"/>
  <c r="M100" i="16"/>
  <c r="V108" i="2"/>
  <c r="AC108" i="2" s="1"/>
  <c r="I100" i="16"/>
  <c r="T100" i="16"/>
  <c r="V169" i="2" l="1"/>
  <c r="S100" i="16"/>
  <c r="Q100" i="16"/>
  <c r="G109" i="2"/>
  <c r="AC169" i="2" l="1"/>
  <c r="J100" i="16"/>
  <c r="G46" i="16"/>
  <c r="I109" i="2"/>
  <c r="J109" i="2"/>
  <c r="K46" i="16" s="1"/>
  <c r="AB100" i="16" l="1"/>
  <c r="V100" i="16"/>
  <c r="O46" i="16"/>
  <c r="N46" i="16"/>
  <c r="L46" i="16"/>
  <c r="M46" i="16"/>
  <c r="R109" i="2"/>
  <c r="I46" i="16"/>
  <c r="G110" i="2"/>
  <c r="T46" i="16" l="1"/>
  <c r="R46" i="16"/>
  <c r="AC100" i="16"/>
  <c r="Q46" i="16"/>
  <c r="J46" i="16" s="1"/>
  <c r="V109" i="2"/>
  <c r="S46" i="16"/>
  <c r="G111" i="2"/>
  <c r="G67" i="16" s="1"/>
  <c r="G47" i="16"/>
  <c r="I110" i="2"/>
  <c r="J110" i="2"/>
  <c r="K47" i="16" s="1"/>
  <c r="I67" i="16" l="1"/>
  <c r="J67" i="16"/>
  <c r="AC109" i="2"/>
  <c r="V46" i="16"/>
  <c r="L47" i="16"/>
  <c r="M47" i="16"/>
  <c r="O47" i="16"/>
  <c r="N47" i="16"/>
  <c r="I47" i="16"/>
  <c r="I111" i="2"/>
  <c r="J111" i="2"/>
  <c r="G163" i="2"/>
  <c r="G119" i="16" s="1"/>
  <c r="R110" i="2"/>
  <c r="T47" i="16" l="1"/>
  <c r="R47" i="16"/>
  <c r="I119" i="16"/>
  <c r="J119" i="16"/>
  <c r="AB46" i="16"/>
  <c r="AC46" i="16" s="1"/>
  <c r="Q47" i="16"/>
  <c r="J47" i="16" s="1"/>
  <c r="V110" i="2"/>
  <c r="S47" i="16"/>
  <c r="R111" i="2"/>
  <c r="R67" i="16" s="1"/>
  <c r="V67" i="16" s="1"/>
  <c r="AC67" i="16" s="1"/>
  <c r="I163" i="2"/>
  <c r="J163" i="2"/>
  <c r="AC110" i="2" l="1"/>
  <c r="V111" i="2"/>
  <c r="V47" i="16"/>
  <c r="R163" i="2"/>
  <c r="R119" i="16" s="1"/>
  <c r="V119" i="16" s="1"/>
  <c r="AC119" i="16" s="1"/>
  <c r="AB47" i="16" l="1"/>
  <c r="AC47" i="16" s="1"/>
  <c r="AC111" i="2"/>
  <c r="V163" i="2"/>
  <c r="G334" i="2"/>
  <c r="AC163" i="2" l="1"/>
  <c r="G313" i="2"/>
  <c r="G30" i="20"/>
  <c r="I334" i="2"/>
  <c r="J334" i="2"/>
  <c r="K30" i="20" s="1"/>
  <c r="L30" i="20" l="1"/>
  <c r="N30" i="20"/>
  <c r="M30" i="20"/>
  <c r="O30" i="20"/>
  <c r="I313" i="2"/>
  <c r="G147" i="16"/>
  <c r="J313" i="2"/>
  <c r="K147" i="16" s="1"/>
  <c r="R334" i="2"/>
  <c r="G112" i="2"/>
  <c r="I30" i="20"/>
  <c r="R30" i="20" l="1"/>
  <c r="S30" i="20"/>
  <c r="T30" i="20"/>
  <c r="L147" i="16"/>
  <c r="M147" i="16"/>
  <c r="O147" i="16"/>
  <c r="N147" i="16"/>
  <c r="Q30" i="20"/>
  <c r="G48" i="16"/>
  <c r="I112" i="2"/>
  <c r="J112" i="2"/>
  <c r="K48" i="16" s="1"/>
  <c r="G335" i="2"/>
  <c r="V334" i="2"/>
  <c r="I147" i="16"/>
  <c r="R313" i="2"/>
  <c r="R147" i="16" s="1"/>
  <c r="H121" i="16"/>
  <c r="T147" i="16" l="1"/>
  <c r="V313" i="2"/>
  <c r="AC313" i="2" s="1"/>
  <c r="AC334" i="2"/>
  <c r="W30" i="20"/>
  <c r="X30" i="20"/>
  <c r="J30" i="20"/>
  <c r="S147" i="16"/>
  <c r="L48" i="16"/>
  <c r="O48" i="16"/>
  <c r="N48" i="16"/>
  <c r="M48" i="16"/>
  <c r="Q147" i="16"/>
  <c r="J147" i="16" s="1"/>
  <c r="G113" i="2"/>
  <c r="G31" i="20"/>
  <c r="I335" i="2"/>
  <c r="J335" i="2"/>
  <c r="K31" i="20" s="1"/>
  <c r="R112" i="2"/>
  <c r="I48" i="16"/>
  <c r="H122" i="16"/>
  <c r="T48" i="16" l="1"/>
  <c r="R48" i="16"/>
  <c r="AB30" i="20"/>
  <c r="V30" i="20"/>
  <c r="V147" i="16"/>
  <c r="V112" i="2"/>
  <c r="S48" i="16"/>
  <c r="N31" i="20"/>
  <c r="O31" i="20"/>
  <c r="M31" i="20"/>
  <c r="L31" i="20"/>
  <c r="Q48" i="16"/>
  <c r="J48" i="16" s="1"/>
  <c r="R335" i="2"/>
  <c r="I31" i="20"/>
  <c r="G49" i="16"/>
  <c r="I113" i="2"/>
  <c r="J113" i="2"/>
  <c r="K49" i="16" s="1"/>
  <c r="R31" i="20" l="1"/>
  <c r="AB147" i="16"/>
  <c r="AC147" i="16" s="1"/>
  <c r="G126" i="26" s="1"/>
  <c r="AC30" i="20"/>
  <c r="AC112" i="2"/>
  <c r="S31" i="20"/>
  <c r="T31" i="20"/>
  <c r="V48" i="16"/>
  <c r="Q31" i="20"/>
  <c r="V335" i="2"/>
  <c r="L49" i="16"/>
  <c r="O49" i="16"/>
  <c r="N49" i="16"/>
  <c r="M49" i="16"/>
  <c r="R113" i="2"/>
  <c r="I49" i="16"/>
  <c r="H120" i="16"/>
  <c r="T49" i="16" l="1"/>
  <c r="R49" i="16"/>
  <c r="AB48" i="16"/>
  <c r="AC48" i="16" s="1"/>
  <c r="AC335" i="2"/>
  <c r="W31" i="20"/>
  <c r="X31" i="20"/>
  <c r="Q49" i="16"/>
  <c r="J49" i="16" s="1"/>
  <c r="J31" i="20"/>
  <c r="V113" i="2"/>
  <c r="S49" i="16"/>
  <c r="G336" i="2"/>
  <c r="AB31" i="20" l="1"/>
  <c r="AC113" i="2"/>
  <c r="V31" i="20"/>
  <c r="V49" i="16"/>
  <c r="G32" i="20"/>
  <c r="I336" i="2"/>
  <c r="J336" i="2"/>
  <c r="K32" i="20" s="1"/>
  <c r="AC31" i="20" l="1"/>
  <c r="AB49" i="16"/>
  <c r="AC49" i="16" s="1"/>
  <c r="L32" i="20"/>
  <c r="N32" i="20"/>
  <c r="M32" i="20"/>
  <c r="O32" i="20"/>
  <c r="G114" i="2"/>
  <c r="G68" i="16" s="1"/>
  <c r="R336" i="2"/>
  <c r="I32" i="20"/>
  <c r="H123" i="16"/>
  <c r="R32" i="20" l="1"/>
  <c r="I68" i="16"/>
  <c r="J68" i="16"/>
  <c r="S32" i="20"/>
  <c r="T32" i="20"/>
  <c r="Q32" i="20"/>
  <c r="V336" i="2"/>
  <c r="I114" i="2"/>
  <c r="J114" i="2"/>
  <c r="G337" i="2"/>
  <c r="AC336" i="2" l="1"/>
  <c r="W32" i="20"/>
  <c r="X32" i="20"/>
  <c r="J32" i="20"/>
  <c r="R114" i="2"/>
  <c r="R68" i="16" s="1"/>
  <c r="V68" i="16" s="1"/>
  <c r="AC68" i="16" s="1"/>
  <c r="G33" i="20"/>
  <c r="I337" i="2"/>
  <c r="J337" i="2"/>
  <c r="K33" i="20" s="1"/>
  <c r="G338" i="2"/>
  <c r="AB32" i="20" l="1"/>
  <c r="V32" i="20"/>
  <c r="V114" i="2"/>
  <c r="O33" i="20"/>
  <c r="L33" i="20"/>
  <c r="N33" i="20"/>
  <c r="M33" i="20"/>
  <c r="G339" i="2"/>
  <c r="I33" i="20"/>
  <c r="R337" i="2"/>
  <c r="G34" i="20"/>
  <c r="I338" i="2"/>
  <c r="J338" i="2"/>
  <c r="K34" i="20" s="1"/>
  <c r="R33" i="20" l="1"/>
  <c r="AC32" i="20"/>
  <c r="AC114" i="2"/>
  <c r="S33" i="20"/>
  <c r="T33" i="20"/>
  <c r="L34" i="20"/>
  <c r="M34" i="20"/>
  <c r="O34" i="20"/>
  <c r="N34" i="20"/>
  <c r="Q33" i="20"/>
  <c r="V337" i="2"/>
  <c r="R338" i="2"/>
  <c r="I34" i="20"/>
  <c r="G340" i="2"/>
  <c r="G35" i="20"/>
  <c r="I339" i="2"/>
  <c r="J339" i="2"/>
  <c r="K35" i="20" s="1"/>
  <c r="T34" i="20" l="1"/>
  <c r="R34" i="20"/>
  <c r="AC337" i="2"/>
  <c r="W33" i="20"/>
  <c r="X33" i="20"/>
  <c r="V338" i="2"/>
  <c r="S34" i="20"/>
  <c r="J33" i="20"/>
  <c r="O35" i="20"/>
  <c r="M35" i="20"/>
  <c r="N35" i="20"/>
  <c r="L35" i="20"/>
  <c r="Q34" i="20"/>
  <c r="J34" i="20" s="1"/>
  <c r="R339" i="2"/>
  <c r="G36" i="20"/>
  <c r="I340" i="2"/>
  <c r="J340" i="2"/>
  <c r="K36" i="20" s="1"/>
  <c r="I35" i="20"/>
  <c r="G221" i="2"/>
  <c r="T35" i="20" l="1"/>
  <c r="R35" i="20"/>
  <c r="AB33" i="20"/>
  <c r="X34" i="20"/>
  <c r="AC338" i="2"/>
  <c r="V33" i="20"/>
  <c r="L36" i="20"/>
  <c r="O36" i="20"/>
  <c r="N36" i="20"/>
  <c r="M36" i="20"/>
  <c r="V34" i="20"/>
  <c r="V339" i="2"/>
  <c r="S35" i="20"/>
  <c r="Q35" i="20"/>
  <c r="J35" i="20" s="1"/>
  <c r="W34" i="20"/>
  <c r="G195" i="2"/>
  <c r="G170" i="16" s="1"/>
  <c r="I36" i="20"/>
  <c r="G82" i="18"/>
  <c r="I221" i="2"/>
  <c r="J221" i="2"/>
  <c r="K82" i="18" s="1"/>
  <c r="R340" i="2"/>
  <c r="T36" i="20" l="1"/>
  <c r="R36" i="20"/>
  <c r="I170" i="16"/>
  <c r="J170" i="16"/>
  <c r="AB34" i="20"/>
  <c r="AC34" i="20" s="1"/>
  <c r="G21" i="38" s="1"/>
  <c r="AC33" i="20"/>
  <c r="X35" i="20"/>
  <c r="AC339" i="2"/>
  <c r="W35" i="20"/>
  <c r="V35" i="20"/>
  <c r="L82" i="18"/>
  <c r="M82" i="18"/>
  <c r="N82" i="18"/>
  <c r="O82" i="18"/>
  <c r="V340" i="2"/>
  <c r="AC340" i="2" s="1"/>
  <c r="S36" i="20"/>
  <c r="Q36" i="20"/>
  <c r="J36" i="20" s="1"/>
  <c r="I195" i="2"/>
  <c r="J195" i="2"/>
  <c r="R221" i="2"/>
  <c r="I82" i="18"/>
  <c r="I17" i="2"/>
  <c r="J17" i="2"/>
  <c r="T82" i="18" l="1"/>
  <c r="R82" i="18"/>
  <c r="AB35" i="20"/>
  <c r="AC35" i="20" s="1"/>
  <c r="W36" i="20"/>
  <c r="X36" i="20"/>
  <c r="Q82" i="18"/>
  <c r="J82" i="18" s="1"/>
  <c r="V36" i="20"/>
  <c r="V221" i="2"/>
  <c r="S82" i="18"/>
  <c r="R195" i="2"/>
  <c r="R170" i="16" s="1"/>
  <c r="V170" i="16" s="1"/>
  <c r="G341" i="2"/>
  <c r="R17" i="2"/>
  <c r="R8" i="16" s="1"/>
  <c r="V8" i="16" s="1"/>
  <c r="AC8" i="16" s="1"/>
  <c r="G22" i="38" l="1"/>
  <c r="G8" i="26"/>
  <c r="AC170" i="16"/>
  <c r="G146" i="26" s="1"/>
  <c r="AB36" i="20"/>
  <c r="AC36" i="20" s="1"/>
  <c r="AC221" i="2"/>
  <c r="V195" i="2"/>
  <c r="V82" i="18"/>
  <c r="G37" i="20"/>
  <c r="J341" i="2"/>
  <c r="K37" i="20" s="1"/>
  <c r="I341" i="2"/>
  <c r="V17" i="2"/>
  <c r="AC17" i="2" s="1"/>
  <c r="G23" i="38" l="1"/>
  <c r="AB82" i="18"/>
  <c r="AC82" i="18" s="1"/>
  <c r="AC195" i="2"/>
  <c r="R341" i="2"/>
  <c r="S37" i="20"/>
  <c r="L37" i="20"/>
  <c r="M37" i="20"/>
  <c r="O37" i="20"/>
  <c r="N37" i="20"/>
  <c r="I37" i="20"/>
  <c r="G256" i="2"/>
  <c r="T37" i="20" l="1"/>
  <c r="R37" i="20"/>
  <c r="V341" i="2"/>
  <c r="AC341" i="2" s="1"/>
  <c r="Q37" i="20"/>
  <c r="J37" i="20" s="1"/>
  <c r="X37" i="20"/>
  <c r="W37" i="20"/>
  <c r="G257" i="2"/>
  <c r="G22" i="14" s="1"/>
  <c r="G32" i="14"/>
  <c r="I256" i="2"/>
  <c r="J256" i="2"/>
  <c r="K32" i="14" s="1"/>
  <c r="H130" i="16"/>
  <c r="V37" i="20" l="1"/>
  <c r="I22" i="14"/>
  <c r="J22" i="14"/>
  <c r="AB37" i="20"/>
  <c r="AC37" i="20" s="1"/>
  <c r="O32" i="14"/>
  <c r="M32" i="14"/>
  <c r="L32" i="14"/>
  <c r="N32" i="14"/>
  <c r="I32" i="14"/>
  <c r="G33" i="14"/>
  <c r="I257" i="2"/>
  <c r="J257" i="2"/>
  <c r="K33" i="14" s="1"/>
  <c r="G342" i="2"/>
  <c r="R256" i="2"/>
  <c r="G24" i="38" l="1"/>
  <c r="T32" i="14"/>
  <c r="R32" i="14"/>
  <c r="Q32" i="14"/>
  <c r="J32" i="14" s="1"/>
  <c r="L33" i="14"/>
  <c r="M33" i="14"/>
  <c r="O33" i="14"/>
  <c r="N33" i="14"/>
  <c r="V256" i="2"/>
  <c r="S32" i="14"/>
  <c r="R257" i="2"/>
  <c r="I33" i="14"/>
  <c r="G68" i="20"/>
  <c r="I342" i="2"/>
  <c r="J342" i="2"/>
  <c r="K68" i="20" s="1"/>
  <c r="T33" i="14" l="1"/>
  <c r="R22" i="14"/>
  <c r="V22" i="14" s="1"/>
  <c r="AC22" i="14" s="1"/>
  <c r="X32" i="14"/>
  <c r="AC256" i="2"/>
  <c r="V32" i="14"/>
  <c r="V257" i="2"/>
  <c r="S33" i="14"/>
  <c r="L68" i="20"/>
  <c r="O68" i="20"/>
  <c r="M68" i="20"/>
  <c r="N68" i="20"/>
  <c r="Q33" i="14"/>
  <c r="J33" i="14" s="1"/>
  <c r="W32" i="14"/>
  <c r="I68" i="20"/>
  <c r="G229" i="2"/>
  <c r="G21" i="16" s="1"/>
  <c r="R342" i="2"/>
  <c r="T68" i="20" l="1"/>
  <c r="R68" i="20"/>
  <c r="I21" i="16"/>
  <c r="J21" i="16"/>
  <c r="AB32" i="14"/>
  <c r="AC32" i="14" s="1"/>
  <c r="X33" i="14"/>
  <c r="AC257" i="2"/>
  <c r="V342" i="2"/>
  <c r="S68" i="20"/>
  <c r="Q68" i="20"/>
  <c r="W33" i="14"/>
  <c r="G343" i="2"/>
  <c r="I229" i="2"/>
  <c r="J229" i="2"/>
  <c r="G171" i="26" l="1"/>
  <c r="AB33" i="14"/>
  <c r="X68" i="20"/>
  <c r="AC342" i="2"/>
  <c r="J68" i="20"/>
  <c r="W68" i="20"/>
  <c r="G69" i="20"/>
  <c r="I343" i="2"/>
  <c r="J343" i="2"/>
  <c r="K69" i="20" s="1"/>
  <c r="K74" i="20" s="1"/>
  <c r="R229" i="2"/>
  <c r="R21" i="16" s="1"/>
  <c r="V21" i="16" l="1"/>
  <c r="AC21" i="16" s="1"/>
  <c r="AB68" i="20"/>
  <c r="V68" i="20"/>
  <c r="V229" i="2"/>
  <c r="AC229" i="2" s="1"/>
  <c r="L69" i="20"/>
  <c r="L74" i="20" s="1"/>
  <c r="O69" i="20"/>
  <c r="O74" i="20" s="1"/>
  <c r="N69" i="20"/>
  <c r="N74" i="20" s="1"/>
  <c r="M69" i="20"/>
  <c r="M74" i="20" s="1"/>
  <c r="R343" i="2"/>
  <c r="I69" i="20"/>
  <c r="G314" i="2"/>
  <c r="T69" i="20" l="1"/>
  <c r="T74" i="20" s="1"/>
  <c r="R69" i="20"/>
  <c r="AC68" i="20"/>
  <c r="V343" i="2"/>
  <c r="S69" i="20"/>
  <c r="S74" i="20" s="1"/>
  <c r="Q69" i="20"/>
  <c r="Q74" i="20" s="1"/>
  <c r="I314" i="2"/>
  <c r="G148" i="16"/>
  <c r="J314" i="2"/>
  <c r="K148" i="16" s="1"/>
  <c r="G36" i="38" l="1"/>
  <c r="G52" i="38"/>
  <c r="X69" i="20"/>
  <c r="X74" i="20" s="1"/>
  <c r="AC343" i="2"/>
  <c r="L148" i="16"/>
  <c r="M148" i="16"/>
  <c r="O148" i="16"/>
  <c r="N148" i="16"/>
  <c r="J69" i="20"/>
  <c r="W69" i="20"/>
  <c r="W74" i="20" s="1"/>
  <c r="I148" i="16"/>
  <c r="R314" i="2"/>
  <c r="H9" i="14"/>
  <c r="T148" i="16" l="1"/>
  <c r="R148" i="16"/>
  <c r="AB69" i="20"/>
  <c r="AB74" i="20" s="1"/>
  <c r="V314" i="2"/>
  <c r="S148" i="16"/>
  <c r="V69" i="20"/>
  <c r="Q148" i="16"/>
  <c r="J148" i="16" s="1"/>
  <c r="G13" i="16"/>
  <c r="I32" i="2"/>
  <c r="J32" i="2"/>
  <c r="K13" i="16" s="1"/>
  <c r="K18" i="16" s="1"/>
  <c r="G315" i="2"/>
  <c r="AC69" i="20" l="1"/>
  <c r="AC314" i="2"/>
  <c r="N13" i="16"/>
  <c r="N18" i="16" s="1"/>
  <c r="L13" i="16"/>
  <c r="L18" i="16" s="1"/>
  <c r="O13" i="16"/>
  <c r="O18" i="16" s="1"/>
  <c r="M13" i="16"/>
  <c r="M18" i="16" s="1"/>
  <c r="V148" i="16"/>
  <c r="R32" i="2"/>
  <c r="I13" i="16"/>
  <c r="G316" i="2"/>
  <c r="G149" i="16"/>
  <c r="I315" i="2"/>
  <c r="J315" i="2"/>
  <c r="K149" i="16" s="1"/>
  <c r="G53" i="38" l="1"/>
  <c r="T13" i="16"/>
  <c r="T18" i="16" s="1"/>
  <c r="R13" i="16"/>
  <c r="G37" i="38"/>
  <c r="AB148" i="16"/>
  <c r="AC148" i="16" s="1"/>
  <c r="G127" i="26" s="1"/>
  <c r="V32" i="2"/>
  <c r="AC32" i="2" s="1"/>
  <c r="S13" i="16"/>
  <c r="S18" i="16" s="1"/>
  <c r="Q13" i="16"/>
  <c r="Q18" i="16" s="1"/>
  <c r="L149" i="16"/>
  <c r="N149" i="16"/>
  <c r="M149" i="16"/>
  <c r="O149" i="16"/>
  <c r="R315" i="2"/>
  <c r="I149" i="16"/>
  <c r="G150" i="16"/>
  <c r="I316" i="2"/>
  <c r="J316" i="2"/>
  <c r="K150" i="16" s="1"/>
  <c r="G317" i="2"/>
  <c r="T149" i="16" l="1"/>
  <c r="R149" i="16"/>
  <c r="X18" i="16"/>
  <c r="V315" i="2"/>
  <c r="S149" i="16"/>
  <c r="Q149" i="16"/>
  <c r="J149" i="16" s="1"/>
  <c r="J13" i="16"/>
  <c r="R18" i="16" s="1"/>
  <c r="L150" i="16"/>
  <c r="M150" i="16"/>
  <c r="N150" i="16"/>
  <c r="O150" i="16"/>
  <c r="W18" i="16"/>
  <c r="I150" i="16"/>
  <c r="R316" i="2"/>
  <c r="G151" i="16"/>
  <c r="I317" i="2"/>
  <c r="J317" i="2"/>
  <c r="K151" i="16" s="1"/>
  <c r="T150" i="16" l="1"/>
  <c r="R150" i="16"/>
  <c r="AB18" i="16"/>
  <c r="AC315" i="2"/>
  <c r="Q150" i="16"/>
  <c r="J150" i="16" s="1"/>
  <c r="V316" i="2"/>
  <c r="S150" i="16"/>
  <c r="V13" i="16"/>
  <c r="V18" i="16" s="1"/>
  <c r="O151" i="16"/>
  <c r="L151" i="16"/>
  <c r="N151" i="16"/>
  <c r="M151" i="16"/>
  <c r="V149" i="16"/>
  <c r="G318" i="2"/>
  <c r="R317" i="2"/>
  <c r="I151" i="16"/>
  <c r="T151" i="16" l="1"/>
  <c r="R151" i="16"/>
  <c r="AC13" i="16"/>
  <c r="AB149" i="16"/>
  <c r="AC149" i="16" s="1"/>
  <c r="G128" i="26" s="1"/>
  <c r="AC316" i="2"/>
  <c r="Q151" i="16"/>
  <c r="J151" i="16" s="1"/>
  <c r="V317" i="2"/>
  <c r="S151" i="16"/>
  <c r="V150" i="16"/>
  <c r="G152" i="16"/>
  <c r="I318" i="2"/>
  <c r="J318" i="2"/>
  <c r="K152" i="16" s="1"/>
  <c r="G319" i="2"/>
  <c r="G10" i="26" l="1"/>
  <c r="G9" i="26"/>
  <c r="G11" i="26"/>
  <c r="AC18" i="16"/>
  <c r="AB150" i="16"/>
  <c r="AC150" i="16" s="1"/>
  <c r="G129" i="26" s="1"/>
  <c r="AC317" i="2"/>
  <c r="O152" i="16"/>
  <c r="M152" i="16"/>
  <c r="L152" i="16"/>
  <c r="N152" i="16"/>
  <c r="V151" i="16"/>
  <c r="G153" i="16"/>
  <c r="J319" i="2"/>
  <c r="K153" i="16" s="1"/>
  <c r="I319" i="2"/>
  <c r="G320" i="2"/>
  <c r="R318" i="2"/>
  <c r="I152" i="16"/>
  <c r="H86" i="16"/>
  <c r="T152" i="16" l="1"/>
  <c r="R152" i="16"/>
  <c r="AB151" i="16"/>
  <c r="AC151" i="16" s="1"/>
  <c r="R319" i="2"/>
  <c r="V318" i="2"/>
  <c r="S152" i="16"/>
  <c r="S153" i="16"/>
  <c r="L153" i="16"/>
  <c r="M153" i="16"/>
  <c r="O153" i="16"/>
  <c r="N153" i="16"/>
  <c r="Q152" i="16"/>
  <c r="J152" i="16" s="1"/>
  <c r="G154" i="16"/>
  <c r="J320" i="2"/>
  <c r="K154" i="16" s="1"/>
  <c r="I320" i="2"/>
  <c r="I153" i="16"/>
  <c r="G130" i="26" l="1"/>
  <c r="T153" i="16"/>
  <c r="R153" i="16"/>
  <c r="AC318" i="2"/>
  <c r="V319" i="2"/>
  <c r="L154" i="16"/>
  <c r="M154" i="16"/>
  <c r="N154" i="16"/>
  <c r="O154" i="16"/>
  <c r="V152" i="16"/>
  <c r="Q153" i="16"/>
  <c r="J153" i="16" s="1"/>
  <c r="R320" i="2"/>
  <c r="G170" i="2"/>
  <c r="I154" i="16"/>
  <c r="T154" i="16" l="1"/>
  <c r="R154" i="16"/>
  <c r="V153" i="16"/>
  <c r="AB152" i="16"/>
  <c r="AC152" i="16" s="1"/>
  <c r="AB153" i="16"/>
  <c r="AC319" i="2"/>
  <c r="V320" i="2"/>
  <c r="S154" i="16"/>
  <c r="Q154" i="16"/>
  <c r="J154" i="16" s="1"/>
  <c r="G344" i="2"/>
  <c r="G102" i="16"/>
  <c r="I170" i="2"/>
  <c r="J170" i="2"/>
  <c r="K102" i="16" s="1"/>
  <c r="H87" i="16"/>
  <c r="G131" i="26" l="1"/>
  <c r="R170" i="2"/>
  <c r="AC153" i="16"/>
  <c r="G132" i="26" s="1"/>
  <c r="R102" i="16"/>
  <c r="AC320" i="2"/>
  <c r="V154" i="16"/>
  <c r="L102" i="16"/>
  <c r="N102" i="16"/>
  <c r="M102" i="16"/>
  <c r="O102" i="16"/>
  <c r="I102" i="16"/>
  <c r="G38" i="20"/>
  <c r="J344" i="2"/>
  <c r="K38" i="20" s="1"/>
  <c r="I344" i="2"/>
  <c r="T102" i="16"/>
  <c r="G321" i="2"/>
  <c r="AB154" i="16" l="1"/>
  <c r="AC154" i="16" s="1"/>
  <c r="R344" i="2"/>
  <c r="V170" i="2"/>
  <c r="S102" i="16"/>
  <c r="S38" i="20"/>
  <c r="M38" i="20"/>
  <c r="L38" i="20"/>
  <c r="N38" i="20"/>
  <c r="O38" i="20"/>
  <c r="Q102" i="16"/>
  <c r="J321" i="2"/>
  <c r="K155" i="16" s="1"/>
  <c r="I321" i="2"/>
  <c r="G155" i="16"/>
  <c r="I38" i="20"/>
  <c r="G196" i="2"/>
  <c r="G135" i="26" l="1"/>
  <c r="G133" i="26"/>
  <c r="T38" i="20"/>
  <c r="R38" i="20"/>
  <c r="AC170" i="2"/>
  <c r="V344" i="2"/>
  <c r="Q38" i="20"/>
  <c r="J38" i="20" s="1"/>
  <c r="J102" i="16"/>
  <c r="W38" i="20"/>
  <c r="L155" i="16"/>
  <c r="O155" i="16"/>
  <c r="N155" i="16"/>
  <c r="M155" i="16"/>
  <c r="I155" i="16"/>
  <c r="G345" i="2"/>
  <c r="G73" i="18"/>
  <c r="J196" i="2"/>
  <c r="K73" i="18" s="1"/>
  <c r="I196" i="2"/>
  <c r="R321" i="2"/>
  <c r="V38" i="20" l="1"/>
  <c r="T155" i="16"/>
  <c r="R155" i="16"/>
  <c r="AB102" i="16"/>
  <c r="X38" i="20"/>
  <c r="AB38" i="20" s="1"/>
  <c r="AC38" i="20" s="1"/>
  <c r="AC344" i="2"/>
  <c r="V102" i="16"/>
  <c r="V321" i="2"/>
  <c r="S155" i="16"/>
  <c r="Q155" i="16"/>
  <c r="J155" i="16" s="1"/>
  <c r="L73" i="18"/>
  <c r="O73" i="18"/>
  <c r="N73" i="18"/>
  <c r="M73" i="18"/>
  <c r="I345" i="2"/>
  <c r="J345" i="2"/>
  <c r="G39" i="20"/>
  <c r="G346" i="2"/>
  <c r="R196" i="2"/>
  <c r="I73" i="18"/>
  <c r="G25" i="38" l="1"/>
  <c r="T73" i="18"/>
  <c r="R73" i="18"/>
  <c r="AC102" i="16"/>
  <c r="AC321" i="2"/>
  <c r="V196" i="2"/>
  <c r="S73" i="18"/>
  <c r="Q73" i="18"/>
  <c r="J73" i="18" s="1"/>
  <c r="R345" i="2"/>
  <c r="K39" i="20"/>
  <c r="V155" i="16"/>
  <c r="G347" i="2"/>
  <c r="I39" i="20"/>
  <c r="G40" i="20"/>
  <c r="I346" i="2"/>
  <c r="J346" i="2"/>
  <c r="K40" i="20" s="1"/>
  <c r="T39" i="20" l="1"/>
  <c r="R39" i="20"/>
  <c r="AB155" i="16"/>
  <c r="AC155" i="16" s="1"/>
  <c r="G134" i="26" s="1"/>
  <c r="AC196" i="2"/>
  <c r="V73" i="18"/>
  <c r="M39" i="20"/>
  <c r="O39" i="20"/>
  <c r="L39" i="20"/>
  <c r="N39" i="20"/>
  <c r="M40" i="20"/>
  <c r="L40" i="20"/>
  <c r="O40" i="20"/>
  <c r="N40" i="20"/>
  <c r="V345" i="2"/>
  <c r="S39" i="20"/>
  <c r="I347" i="2"/>
  <c r="J347" i="2"/>
  <c r="G41" i="20"/>
  <c r="I40" i="20"/>
  <c r="R346" i="2"/>
  <c r="H89" i="16"/>
  <c r="G136" i="26" l="1"/>
  <c r="G137" i="26"/>
  <c r="T40" i="20"/>
  <c r="R40" i="20"/>
  <c r="AB73" i="18"/>
  <c r="AC73" i="18" s="1"/>
  <c r="X39" i="20"/>
  <c r="AC345" i="2"/>
  <c r="Q40" i="20"/>
  <c r="J40" i="20" s="1"/>
  <c r="V346" i="2"/>
  <c r="S40" i="20"/>
  <c r="Q39" i="20"/>
  <c r="J39" i="20" s="1"/>
  <c r="V39" i="20" s="1"/>
  <c r="W39" i="20"/>
  <c r="R347" i="2"/>
  <c r="K41" i="20"/>
  <c r="K11" i="16"/>
  <c r="I41" i="20"/>
  <c r="G20" i="2"/>
  <c r="G8" i="20" s="1"/>
  <c r="T41" i="20" l="1"/>
  <c r="R41" i="20"/>
  <c r="I8" i="20"/>
  <c r="J8" i="20"/>
  <c r="AB39" i="20"/>
  <c r="AC39" i="20" s="1"/>
  <c r="G26" i="38" s="1"/>
  <c r="X40" i="20"/>
  <c r="AC346" i="2"/>
  <c r="L41" i="20"/>
  <c r="M41" i="20"/>
  <c r="O41" i="20"/>
  <c r="N41" i="20"/>
  <c r="V347" i="2"/>
  <c r="S41" i="20"/>
  <c r="V40" i="20"/>
  <c r="W40" i="20"/>
  <c r="G180" i="2"/>
  <c r="G175" i="16" s="1"/>
  <c r="I20" i="2"/>
  <c r="J20" i="2"/>
  <c r="H90" i="16"/>
  <c r="I175" i="16" l="1"/>
  <c r="J175" i="16"/>
  <c r="AB40" i="20"/>
  <c r="AC40" i="20" s="1"/>
  <c r="X41" i="20"/>
  <c r="AC347" i="2"/>
  <c r="O11" i="16"/>
  <c r="L11" i="16"/>
  <c r="M11" i="16"/>
  <c r="N11" i="16"/>
  <c r="W41" i="20"/>
  <c r="Q41" i="20"/>
  <c r="J41" i="20" s="1"/>
  <c r="V41" i="20" s="1"/>
  <c r="R20" i="2"/>
  <c r="I180" i="2"/>
  <c r="J180" i="2"/>
  <c r="G348" i="2"/>
  <c r="G19" i="38" l="1"/>
  <c r="G27" i="38"/>
  <c r="T11" i="16"/>
  <c r="R8" i="20"/>
  <c r="R9" i="20" s="1"/>
  <c r="AB41" i="20"/>
  <c r="AC41" i="20" s="1"/>
  <c r="V20" i="2"/>
  <c r="AC20" i="2" s="1"/>
  <c r="S11" i="16"/>
  <c r="G349" i="2"/>
  <c r="G42" i="20"/>
  <c r="I348" i="2"/>
  <c r="J348" i="2"/>
  <c r="R180" i="2"/>
  <c r="Q42" i="2"/>
  <c r="Q140" i="2" s="1"/>
  <c r="G28" i="38" l="1"/>
  <c r="G31" i="38"/>
  <c r="V8" i="20"/>
  <c r="V180" i="2"/>
  <c r="AC180" i="2" s="1"/>
  <c r="R175" i="16"/>
  <c r="V175" i="16" s="1"/>
  <c r="AC175" i="16" s="1"/>
  <c r="X11" i="16"/>
  <c r="R11" i="16"/>
  <c r="Q11" i="16"/>
  <c r="R348" i="2"/>
  <c r="K42" i="20"/>
  <c r="I42" i="20"/>
  <c r="I349" i="2"/>
  <c r="J349" i="2"/>
  <c r="K43" i="20" s="1"/>
  <c r="G43" i="20"/>
  <c r="G171" i="2"/>
  <c r="H93" i="16"/>
  <c r="K66" i="20" l="1"/>
  <c r="T42" i="20"/>
  <c r="R42" i="20"/>
  <c r="V9" i="20"/>
  <c r="AC8" i="20"/>
  <c r="Q164" i="2"/>
  <c r="Q173" i="2"/>
  <c r="V11" i="16"/>
  <c r="AB11" i="16"/>
  <c r="W11" i="16"/>
  <c r="N43" i="20"/>
  <c r="L43" i="20"/>
  <c r="O43" i="20"/>
  <c r="M43" i="20"/>
  <c r="L42" i="20"/>
  <c r="N42" i="20"/>
  <c r="M42" i="20"/>
  <c r="O42" i="20"/>
  <c r="V348" i="2"/>
  <c r="S42" i="20"/>
  <c r="G222" i="2"/>
  <c r="I43" i="20"/>
  <c r="R349" i="2"/>
  <c r="R380" i="2" s="1"/>
  <c r="G103" i="16"/>
  <c r="I171" i="2"/>
  <c r="J171" i="2"/>
  <c r="K103" i="16" s="1"/>
  <c r="K105" i="16" s="1"/>
  <c r="O66" i="20" l="1"/>
  <c r="N66" i="20"/>
  <c r="L66" i="20"/>
  <c r="M66" i="20"/>
  <c r="R171" i="2"/>
  <c r="R103" i="16"/>
  <c r="G7" i="38"/>
  <c r="AC9" i="20"/>
  <c r="R43" i="20"/>
  <c r="G7" i="26"/>
  <c r="X42" i="20"/>
  <c r="AC348" i="2"/>
  <c r="AC11" i="16"/>
  <c r="S43" i="20"/>
  <c r="S66" i="20" s="1"/>
  <c r="T43" i="20"/>
  <c r="T66" i="20" s="1"/>
  <c r="Q42" i="20"/>
  <c r="J42" i="20" s="1"/>
  <c r="V42" i="20" s="1"/>
  <c r="Q43" i="20"/>
  <c r="L103" i="16"/>
  <c r="L105" i="16" s="1"/>
  <c r="O103" i="16"/>
  <c r="O105" i="16" s="1"/>
  <c r="N103" i="16"/>
  <c r="N105" i="16" s="1"/>
  <c r="M103" i="16"/>
  <c r="M105" i="16" s="1"/>
  <c r="W42" i="20"/>
  <c r="T103" i="16"/>
  <c r="T105" i="16" s="1"/>
  <c r="I103" i="16"/>
  <c r="I222" i="2"/>
  <c r="G95" i="16"/>
  <c r="J222" i="2"/>
  <c r="K95" i="16" s="1"/>
  <c r="V349" i="2"/>
  <c r="V380" i="2" s="1"/>
  <c r="G197" i="2"/>
  <c r="Q66" i="20" l="1"/>
  <c r="AB42" i="20"/>
  <c r="AC42" i="20" s="1"/>
  <c r="G32" i="38" s="1"/>
  <c r="AC349" i="2"/>
  <c r="AC380" i="2" s="1"/>
  <c r="W43" i="20"/>
  <c r="W66" i="20" s="1"/>
  <c r="X43" i="20"/>
  <c r="X66" i="20" s="1"/>
  <c r="V171" i="2"/>
  <c r="S103" i="16"/>
  <c r="S105" i="16" s="1"/>
  <c r="Q103" i="16"/>
  <c r="Q105" i="16" s="1"/>
  <c r="L95" i="16"/>
  <c r="M95" i="16"/>
  <c r="O95" i="16"/>
  <c r="N95" i="16"/>
  <c r="J43" i="20"/>
  <c r="G79" i="20"/>
  <c r="I197" i="2"/>
  <c r="J197" i="2"/>
  <c r="K79" i="20" s="1"/>
  <c r="K87" i="20" s="1"/>
  <c r="K89" i="20" s="1"/>
  <c r="I95" i="16"/>
  <c r="R222" i="2"/>
  <c r="G20" i="38" l="1"/>
  <c r="G29" i="38"/>
  <c r="T95" i="16"/>
  <c r="R95" i="16"/>
  <c r="Q231" i="2"/>
  <c r="AB43" i="20"/>
  <c r="AB66" i="20" s="1"/>
  <c r="X105" i="16"/>
  <c r="AC171" i="2"/>
  <c r="V43" i="20"/>
  <c r="Q95" i="16"/>
  <c r="J95" i="16" s="1"/>
  <c r="V222" i="2"/>
  <c r="S95" i="16"/>
  <c r="N79" i="20"/>
  <c r="N87" i="20" s="1"/>
  <c r="O79" i="20"/>
  <c r="O87" i="20" s="1"/>
  <c r="M79" i="20"/>
  <c r="M87" i="20" s="1"/>
  <c r="L79" i="20"/>
  <c r="L87" i="20" s="1"/>
  <c r="J103" i="16"/>
  <c r="R197" i="2"/>
  <c r="I79" i="20"/>
  <c r="G198" i="2"/>
  <c r="G85" i="20" s="1"/>
  <c r="I85" i="20" l="1"/>
  <c r="J85" i="20"/>
  <c r="T79" i="20"/>
  <c r="T87" i="20" s="1"/>
  <c r="R79" i="20"/>
  <c r="Q241" i="2"/>
  <c r="W105" i="16"/>
  <c r="AB103" i="16"/>
  <c r="AC43" i="20"/>
  <c r="AC222" i="2"/>
  <c r="V197" i="2"/>
  <c r="S79" i="20"/>
  <c r="S87" i="20" s="1"/>
  <c r="Q79" i="20"/>
  <c r="Q87" i="20" s="1"/>
  <c r="V95" i="16"/>
  <c r="V103" i="16"/>
  <c r="I198" i="2"/>
  <c r="J198" i="2"/>
  <c r="G115" i="2"/>
  <c r="G25" i="30" s="1"/>
  <c r="G30" i="38" l="1"/>
  <c r="G33" i="38"/>
  <c r="I25" i="30"/>
  <c r="J25" i="30"/>
  <c r="AB95" i="16"/>
  <c r="AC95" i="16" s="1"/>
  <c r="AC103" i="16"/>
  <c r="G87" i="26" s="1"/>
  <c r="AB105" i="16"/>
  <c r="X79" i="20"/>
  <c r="X87" i="20" s="1"/>
  <c r="AC197" i="2"/>
  <c r="J79" i="20"/>
  <c r="W79" i="20"/>
  <c r="W87" i="20" s="1"/>
  <c r="R198" i="2"/>
  <c r="R85" i="20" s="1"/>
  <c r="V85" i="20" s="1"/>
  <c r="AC85" i="20" s="1"/>
  <c r="G116" i="2"/>
  <c r="I115" i="2"/>
  <c r="J115" i="2"/>
  <c r="H12" i="14"/>
  <c r="M89" i="20" l="1"/>
  <c r="E11" i="23" s="1"/>
  <c r="L89" i="20"/>
  <c r="N89" i="20"/>
  <c r="F11" i="23" s="1"/>
  <c r="O89" i="20"/>
  <c r="G11" i="23" s="1"/>
  <c r="V79" i="20"/>
  <c r="AB79" i="20"/>
  <c r="AB87" i="20" s="1"/>
  <c r="V198" i="2"/>
  <c r="R115" i="2"/>
  <c r="R25" i="30" s="1"/>
  <c r="V25" i="30" s="1"/>
  <c r="G50" i="16"/>
  <c r="J116" i="2"/>
  <c r="K50" i="16" s="1"/>
  <c r="I116" i="2"/>
  <c r="Q89" i="20" l="1"/>
  <c r="S89" i="20"/>
  <c r="K11" i="23" s="1"/>
  <c r="T89" i="20"/>
  <c r="L11" i="23" s="1"/>
  <c r="AC25" i="30"/>
  <c r="G207" i="26" s="1"/>
  <c r="AC79" i="20"/>
  <c r="AC198" i="2"/>
  <c r="D11" i="23"/>
  <c r="I11" i="23" s="1"/>
  <c r="V115" i="2"/>
  <c r="L50" i="16"/>
  <c r="O50" i="16"/>
  <c r="N50" i="16"/>
  <c r="M50" i="16"/>
  <c r="G117" i="2"/>
  <c r="R116" i="2"/>
  <c r="I50" i="16"/>
  <c r="H20" i="14"/>
  <c r="X89" i="20" l="1"/>
  <c r="P11" i="23" s="1"/>
  <c r="W89" i="20"/>
  <c r="T50" i="16"/>
  <c r="R50" i="16"/>
  <c r="AC115" i="2"/>
  <c r="Q50" i="16"/>
  <c r="J50" i="16" s="1"/>
  <c r="V116" i="2"/>
  <c r="S50" i="16"/>
  <c r="G51" i="16"/>
  <c r="I117" i="2"/>
  <c r="J117" i="2"/>
  <c r="K51" i="16" s="1"/>
  <c r="H129" i="16"/>
  <c r="H128" i="16"/>
  <c r="H127" i="16"/>
  <c r="H126" i="16"/>
  <c r="H125" i="16"/>
  <c r="H124" i="16"/>
  <c r="H107" i="16"/>
  <c r="AB89" i="20" l="1"/>
  <c r="AC116" i="2"/>
  <c r="O11" i="23"/>
  <c r="T11" i="23" s="1"/>
  <c r="V50" i="16"/>
  <c r="L51" i="16"/>
  <c r="M51" i="16"/>
  <c r="O51" i="16"/>
  <c r="N51" i="16"/>
  <c r="I51" i="16"/>
  <c r="R117" i="2"/>
  <c r="T51" i="16" l="1"/>
  <c r="R51" i="16"/>
  <c r="AB50" i="16"/>
  <c r="AC50" i="16" s="1"/>
  <c r="V117" i="2"/>
  <c r="S51" i="16"/>
  <c r="Q51" i="16"/>
  <c r="J51" i="16" s="1"/>
  <c r="AC117" i="2" l="1"/>
  <c r="V51" i="16"/>
  <c r="AB51" i="16" l="1"/>
  <c r="AC51" i="16" s="1"/>
  <c r="J31" i="2" l="1"/>
  <c r="K21" i="18" s="1"/>
  <c r="K22" i="18" s="1"/>
  <c r="I31" i="2"/>
  <c r="M21" i="18" l="1"/>
  <c r="M22" i="18" s="1"/>
  <c r="L21" i="18"/>
  <c r="L22" i="18" s="1"/>
  <c r="N21" i="18"/>
  <c r="N22" i="18" s="1"/>
  <c r="O21" i="18"/>
  <c r="O22" i="18" s="1"/>
  <c r="R31" i="2"/>
  <c r="I21" i="18"/>
  <c r="T21" i="18" l="1"/>
  <c r="T22" i="18" s="1"/>
  <c r="R21" i="18"/>
  <c r="R22" i="18" s="1"/>
  <c r="Q21" i="18"/>
  <c r="V31" i="2"/>
  <c r="S21" i="18"/>
  <c r="S22" i="18" s="1"/>
  <c r="G24" i="18"/>
  <c r="J38" i="2"/>
  <c r="I38" i="2"/>
  <c r="J37" i="2"/>
  <c r="K24" i="18" s="1"/>
  <c r="I37" i="2"/>
  <c r="J21" i="18" l="1"/>
  <c r="Q22" i="18"/>
  <c r="X21" i="18"/>
  <c r="X22" i="18" s="1"/>
  <c r="X85" i="18" s="1"/>
  <c r="P8" i="23" s="1"/>
  <c r="AC31" i="2"/>
  <c r="N24" i="18"/>
  <c r="L24" i="18"/>
  <c r="M24" i="18"/>
  <c r="O24" i="18"/>
  <c r="I24" i="18"/>
  <c r="V21" i="18"/>
  <c r="V22" i="18" s="1"/>
  <c r="R38" i="2"/>
  <c r="R20" i="16" s="1"/>
  <c r="R37" i="2"/>
  <c r="R24" i="18" s="1"/>
  <c r="V20" i="16" l="1"/>
  <c r="AB21" i="18"/>
  <c r="AB22" i="18" s="1"/>
  <c r="S24" i="18"/>
  <c r="T24" i="18"/>
  <c r="V38" i="2"/>
  <c r="AC38" i="2" s="1"/>
  <c r="Q24" i="18"/>
  <c r="G25" i="18"/>
  <c r="J39" i="2"/>
  <c r="K25" i="18" s="1"/>
  <c r="K26" i="18" s="1"/>
  <c r="I39" i="2"/>
  <c r="V37" i="2"/>
  <c r="AC20" i="16" l="1"/>
  <c r="AC37" i="2"/>
  <c r="AC21" i="18"/>
  <c r="AC22" i="18" s="1"/>
  <c r="O25" i="18"/>
  <c r="O26" i="18" s="1"/>
  <c r="L25" i="18"/>
  <c r="L26" i="18" s="1"/>
  <c r="N25" i="18"/>
  <c r="N26" i="18" s="1"/>
  <c r="M25" i="18"/>
  <c r="M26" i="18" s="1"/>
  <c r="J24" i="18"/>
  <c r="R39" i="2"/>
  <c r="R25" i="18" s="1"/>
  <c r="R26" i="18" s="1"/>
  <c r="G28" i="18"/>
  <c r="I42" i="2"/>
  <c r="J42" i="2"/>
  <c r="K28" i="18" s="1"/>
  <c r="I25" i="18"/>
  <c r="G16" i="17" l="1"/>
  <c r="AB24" i="18"/>
  <c r="V24" i="18"/>
  <c r="S25" i="18"/>
  <c r="S26" i="18" s="1"/>
  <c r="T25" i="18"/>
  <c r="T26" i="18" s="1"/>
  <c r="M28" i="18"/>
  <c r="L28" i="18"/>
  <c r="O28" i="18"/>
  <c r="N28" i="18"/>
  <c r="Q25" i="18"/>
  <c r="Q26" i="18" s="1"/>
  <c r="V39" i="2"/>
  <c r="I28" i="18"/>
  <c r="R42" i="2"/>
  <c r="R28" i="18" l="1"/>
  <c r="AC24" i="18"/>
  <c r="AC39" i="2"/>
  <c r="S28" i="18"/>
  <c r="T28" i="18"/>
  <c r="Q28" i="18"/>
  <c r="J25" i="18"/>
  <c r="V42" i="2"/>
  <c r="G29" i="18"/>
  <c r="I43" i="2"/>
  <c r="J43" i="2"/>
  <c r="K29" i="18" s="1"/>
  <c r="G17" i="17" l="1"/>
  <c r="AC42" i="2"/>
  <c r="AB25" i="18"/>
  <c r="AB26" i="18" s="1"/>
  <c r="V25" i="18"/>
  <c r="V26" i="18" s="1"/>
  <c r="J28" i="18"/>
  <c r="M29" i="18"/>
  <c r="O29" i="18"/>
  <c r="N29" i="18"/>
  <c r="L29" i="18"/>
  <c r="R43" i="2"/>
  <c r="I29" i="18"/>
  <c r="I44" i="2"/>
  <c r="G30" i="18"/>
  <c r="J44" i="2"/>
  <c r="K30" i="18" s="1"/>
  <c r="R29" i="18" l="1"/>
  <c r="AC25" i="18"/>
  <c r="AC26" i="18" s="1"/>
  <c r="AB28" i="18"/>
  <c r="V28" i="18"/>
  <c r="S29" i="18"/>
  <c r="T29" i="18"/>
  <c r="L30" i="18"/>
  <c r="M30" i="18"/>
  <c r="O30" i="18"/>
  <c r="N30" i="18"/>
  <c r="Q29" i="18"/>
  <c r="V43" i="2"/>
  <c r="R44" i="2"/>
  <c r="I45" i="2"/>
  <c r="G31" i="18"/>
  <c r="I30" i="18"/>
  <c r="J45" i="2"/>
  <c r="K31" i="18" s="1"/>
  <c r="T30" i="18" l="1"/>
  <c r="R54" i="16"/>
  <c r="V54" i="16" s="1"/>
  <c r="AC54" i="16" s="1"/>
  <c r="AC43" i="2"/>
  <c r="G18" i="17"/>
  <c r="AC28" i="18"/>
  <c r="L31" i="18"/>
  <c r="M31" i="18"/>
  <c r="N31" i="18"/>
  <c r="O31" i="18"/>
  <c r="J29" i="18"/>
  <c r="Q30" i="18"/>
  <c r="J30" i="18" s="1"/>
  <c r="V44" i="2"/>
  <c r="S30" i="18"/>
  <c r="R45" i="2"/>
  <c r="R30" i="18" s="1"/>
  <c r="I31" i="18"/>
  <c r="J46" i="2"/>
  <c r="G32" i="18"/>
  <c r="I46" i="2"/>
  <c r="G19" i="17" l="1"/>
  <c r="AB29" i="18"/>
  <c r="AC44" i="2"/>
  <c r="V29" i="18"/>
  <c r="S31" i="18"/>
  <c r="T31" i="18"/>
  <c r="Q31" i="18"/>
  <c r="V30" i="18"/>
  <c r="V45" i="2"/>
  <c r="AC45" i="2" s="1"/>
  <c r="R46" i="2"/>
  <c r="R55" i="16" s="1"/>
  <c r="V55" i="16" s="1"/>
  <c r="AC55" i="16" s="1"/>
  <c r="I32" i="18"/>
  <c r="I47" i="2"/>
  <c r="J47" i="2"/>
  <c r="K32" i="18" s="1"/>
  <c r="J31" i="18" l="1"/>
  <c r="AB30" i="18"/>
  <c r="AC30" i="18" s="1"/>
  <c r="AC29" i="18"/>
  <c r="L32" i="18"/>
  <c r="M32" i="18"/>
  <c r="N32" i="18"/>
  <c r="O32" i="18"/>
  <c r="V46" i="2"/>
  <c r="J48" i="2"/>
  <c r="I48" i="2"/>
  <c r="R47" i="2"/>
  <c r="G20" i="17" l="1"/>
  <c r="T32" i="18"/>
  <c r="R31" i="18"/>
  <c r="V31" i="18" s="1"/>
  <c r="AB31" i="18"/>
  <c r="AC46" i="2"/>
  <c r="V47" i="2"/>
  <c r="AC47" i="2" s="1"/>
  <c r="S32" i="18"/>
  <c r="Q32" i="18"/>
  <c r="R48" i="2"/>
  <c r="J49" i="2"/>
  <c r="I49" i="2"/>
  <c r="R17" i="30" l="1"/>
  <c r="AC31" i="18"/>
  <c r="V48" i="2"/>
  <c r="AC48" i="2" s="1"/>
  <c r="J32" i="18"/>
  <c r="R49" i="2"/>
  <c r="J50" i="2"/>
  <c r="I50" i="2"/>
  <c r="V17" i="30" l="1"/>
  <c r="R32" i="18"/>
  <c r="V32" i="18" s="1"/>
  <c r="AB32" i="18"/>
  <c r="V49" i="2"/>
  <c r="R50" i="2"/>
  <c r="R18" i="30" s="1"/>
  <c r="V18" i="30" s="1"/>
  <c r="AC18" i="30" s="1"/>
  <c r="G33" i="18"/>
  <c r="AC17" i="30" l="1"/>
  <c r="AC32" i="18"/>
  <c r="AC49" i="2"/>
  <c r="V50" i="2"/>
  <c r="I33" i="18"/>
  <c r="I51" i="2"/>
  <c r="J51" i="2"/>
  <c r="K33" i="18" s="1"/>
  <c r="G21" i="17" l="1"/>
  <c r="G199" i="26"/>
  <c r="AC50" i="2"/>
  <c r="L33" i="18"/>
  <c r="N33" i="18"/>
  <c r="M33" i="18"/>
  <c r="O33" i="18"/>
  <c r="G34" i="18"/>
  <c r="R51" i="2"/>
  <c r="R26" i="30" s="1"/>
  <c r="V26" i="30" s="1"/>
  <c r="AC26" i="30" s="1"/>
  <c r="G208" i="26" s="1"/>
  <c r="T33" i="18" l="1"/>
  <c r="G22" i="17"/>
  <c r="Q33" i="18"/>
  <c r="J33" i="18" s="1"/>
  <c r="V51" i="2"/>
  <c r="S33" i="18"/>
  <c r="I34" i="18"/>
  <c r="K34" i="18"/>
  <c r="G35" i="18"/>
  <c r="AC51" i="2" l="1"/>
  <c r="L34" i="18"/>
  <c r="O34" i="18"/>
  <c r="N34" i="18"/>
  <c r="M34" i="18"/>
  <c r="I35" i="18"/>
  <c r="J52" i="2"/>
  <c r="K35" i="18" s="1"/>
  <c r="I52" i="2"/>
  <c r="G36" i="18"/>
  <c r="T34" i="18" l="1"/>
  <c r="AB33" i="18"/>
  <c r="S34" i="18"/>
  <c r="L35" i="18"/>
  <c r="O35" i="18"/>
  <c r="N35" i="18"/>
  <c r="M35" i="18"/>
  <c r="Q34" i="18"/>
  <c r="J34" i="18" s="1"/>
  <c r="I36" i="18"/>
  <c r="R52" i="2"/>
  <c r="I53" i="2"/>
  <c r="G37" i="18"/>
  <c r="J53" i="2"/>
  <c r="K36" i="18" s="1"/>
  <c r="G23" i="17" l="1"/>
  <c r="T35" i="18"/>
  <c r="R33" i="18"/>
  <c r="V33" i="18" s="1"/>
  <c r="AC33" i="18" s="1"/>
  <c r="Q35" i="18"/>
  <c r="J35" i="18" s="1"/>
  <c r="L36" i="18"/>
  <c r="N36" i="18"/>
  <c r="M36" i="18"/>
  <c r="O36" i="18"/>
  <c r="V52" i="2"/>
  <c r="S35" i="18"/>
  <c r="I37" i="18"/>
  <c r="I54" i="2"/>
  <c r="J54" i="2"/>
  <c r="K37" i="18" s="1"/>
  <c r="R53" i="2"/>
  <c r="R34" i="18" s="1"/>
  <c r="V34" i="18" s="1"/>
  <c r="AB34" i="18" l="1"/>
  <c r="AC34" i="18" s="1"/>
  <c r="AC52" i="2"/>
  <c r="S36" i="18"/>
  <c r="T36" i="18"/>
  <c r="L37" i="18"/>
  <c r="O37" i="18"/>
  <c r="N37" i="18"/>
  <c r="M37" i="18"/>
  <c r="Q36" i="18"/>
  <c r="J36" i="18" s="1"/>
  <c r="V53" i="2"/>
  <c r="AC53" i="2" s="1"/>
  <c r="J55" i="2"/>
  <c r="I55" i="2"/>
  <c r="R54" i="2"/>
  <c r="T37" i="18" l="1"/>
  <c r="R56" i="16"/>
  <c r="V56" i="16" s="1"/>
  <c r="AC56" i="16" s="1"/>
  <c r="AB35" i="18"/>
  <c r="V54" i="2"/>
  <c r="S37" i="18"/>
  <c r="Q37" i="18"/>
  <c r="J37" i="18" s="1"/>
  <c r="R55" i="2"/>
  <c r="R35" i="18" s="1"/>
  <c r="V35" i="18" s="1"/>
  <c r="G70" i="18"/>
  <c r="AC35" i="18" l="1"/>
  <c r="AB36" i="18"/>
  <c r="AC54" i="2"/>
  <c r="V55" i="2"/>
  <c r="I70" i="18"/>
  <c r="G71" i="18"/>
  <c r="I188" i="2"/>
  <c r="J188" i="2"/>
  <c r="K70" i="18" s="1"/>
  <c r="AB37" i="18" l="1"/>
  <c r="AC55" i="2"/>
  <c r="M70" i="18"/>
  <c r="L70" i="18"/>
  <c r="O70" i="18"/>
  <c r="N70" i="18"/>
  <c r="I71" i="18"/>
  <c r="R188" i="2"/>
  <c r="J189" i="2"/>
  <c r="K71" i="18" s="1"/>
  <c r="I189" i="2"/>
  <c r="T70" i="18" l="1"/>
  <c r="R70" i="18"/>
  <c r="G25" i="17"/>
  <c r="L71" i="18"/>
  <c r="N71" i="18"/>
  <c r="O71" i="18"/>
  <c r="M71" i="18"/>
  <c r="V188" i="2"/>
  <c r="S70" i="18"/>
  <c r="Q70" i="18"/>
  <c r="J70" i="18" s="1"/>
  <c r="R189" i="2"/>
  <c r="G38" i="18"/>
  <c r="J56" i="2"/>
  <c r="I56" i="2"/>
  <c r="T71" i="18" l="1"/>
  <c r="R71" i="18"/>
  <c r="AC188" i="2"/>
  <c r="V70" i="18"/>
  <c r="V189" i="2"/>
  <c r="S71" i="18"/>
  <c r="Q71" i="18"/>
  <c r="J71" i="18" s="1"/>
  <c r="I38" i="18"/>
  <c r="R56" i="2"/>
  <c r="R36" i="18" s="1"/>
  <c r="V36" i="18" s="1"/>
  <c r="AC36" i="18" s="1"/>
  <c r="G24" i="17" s="1"/>
  <c r="I57" i="2"/>
  <c r="J57" i="2"/>
  <c r="K38" i="18" s="1"/>
  <c r="AB70" i="18" l="1"/>
  <c r="AC70" i="18" s="1"/>
  <c r="AC189" i="2"/>
  <c r="L38" i="18"/>
  <c r="O38" i="18"/>
  <c r="N38" i="18"/>
  <c r="M38" i="18"/>
  <c r="V71" i="18"/>
  <c r="V56" i="2"/>
  <c r="AC56" i="2" s="1"/>
  <c r="G39" i="18"/>
  <c r="R57" i="2"/>
  <c r="T38" i="18" l="1"/>
  <c r="R37" i="18"/>
  <c r="V37" i="18" s="1"/>
  <c r="AC37" i="18" s="1"/>
  <c r="AB71" i="18"/>
  <c r="AC71" i="18" s="1"/>
  <c r="V57" i="2"/>
  <c r="S38" i="18"/>
  <c r="Q38" i="18"/>
  <c r="J38" i="18" s="1"/>
  <c r="I39" i="18"/>
  <c r="J58" i="2"/>
  <c r="K39" i="18" s="1"/>
  <c r="I58" i="2"/>
  <c r="AC57" i="2" l="1"/>
  <c r="L39" i="18"/>
  <c r="O39" i="18"/>
  <c r="N39" i="18"/>
  <c r="M39" i="18"/>
  <c r="R58" i="2"/>
  <c r="G40" i="18"/>
  <c r="T39" i="18" l="1"/>
  <c r="R19" i="30"/>
  <c r="AB38" i="18"/>
  <c r="Q39" i="18"/>
  <c r="J39" i="18" s="1"/>
  <c r="V58" i="2"/>
  <c r="S39" i="18"/>
  <c r="I40" i="18"/>
  <c r="K40" i="18"/>
  <c r="G41" i="18"/>
  <c r="V19" i="30" l="1"/>
  <c r="AC58" i="2"/>
  <c r="L40" i="18"/>
  <c r="O40" i="18"/>
  <c r="N40" i="18"/>
  <c r="M40" i="18"/>
  <c r="I41" i="18"/>
  <c r="I59" i="2"/>
  <c r="G42" i="18"/>
  <c r="J59" i="2"/>
  <c r="K41" i="18" s="1"/>
  <c r="AC19" i="30" l="1"/>
  <c r="T40" i="18"/>
  <c r="AB39" i="18"/>
  <c r="S40" i="18"/>
  <c r="Q40" i="18"/>
  <c r="J40" i="18" s="1"/>
  <c r="L41" i="18"/>
  <c r="N41" i="18"/>
  <c r="M41" i="18"/>
  <c r="O41" i="18"/>
  <c r="I42" i="18"/>
  <c r="I60" i="2"/>
  <c r="J60" i="2"/>
  <c r="K42" i="18" s="1"/>
  <c r="R59" i="2"/>
  <c r="T41" i="18" l="1"/>
  <c r="R38" i="18"/>
  <c r="V38" i="18" s="1"/>
  <c r="AC38" i="18" s="1"/>
  <c r="G200" i="26"/>
  <c r="V59" i="2"/>
  <c r="S41" i="18"/>
  <c r="L42" i="18"/>
  <c r="M42" i="18"/>
  <c r="O42" i="18"/>
  <c r="N42" i="18"/>
  <c r="Q41" i="18"/>
  <c r="J41" i="18" s="1"/>
  <c r="R60" i="2"/>
  <c r="T42" i="18" l="1"/>
  <c r="R57" i="16"/>
  <c r="V57" i="16" s="1"/>
  <c r="AC57" i="16" s="1"/>
  <c r="AB40" i="18"/>
  <c r="AC59" i="2"/>
  <c r="Q42" i="18"/>
  <c r="J42" i="18" s="1"/>
  <c r="V60" i="2"/>
  <c r="S42" i="18"/>
  <c r="AB41" i="18" l="1"/>
  <c r="AC60" i="2"/>
  <c r="J61" i="2"/>
  <c r="G43" i="18"/>
  <c r="I61" i="2"/>
  <c r="AB42" i="18" l="1"/>
  <c r="I43" i="18"/>
  <c r="R61" i="2"/>
  <c r="I62" i="2"/>
  <c r="J62" i="2"/>
  <c r="K43" i="18" s="1"/>
  <c r="R58" i="16" l="1"/>
  <c r="V58" i="16" s="1"/>
  <c r="AC58" i="16" s="1"/>
  <c r="L43" i="18"/>
  <c r="O43" i="18"/>
  <c r="N43" i="18"/>
  <c r="M43" i="18"/>
  <c r="V61" i="2"/>
  <c r="G44" i="18"/>
  <c r="R62" i="2"/>
  <c r="T43" i="18" l="1"/>
  <c r="R39" i="18"/>
  <c r="V39" i="18" s="1"/>
  <c r="AC39" i="18" s="1"/>
  <c r="AC61" i="2"/>
  <c r="V62" i="2"/>
  <c r="S43" i="18"/>
  <c r="Q43" i="18"/>
  <c r="J43" i="18" s="1"/>
  <c r="I44" i="18"/>
  <c r="J63" i="2"/>
  <c r="K44" i="18" s="1"/>
  <c r="K47" i="18" s="1"/>
  <c r="I63" i="2"/>
  <c r="AC62" i="2" l="1"/>
  <c r="L44" i="18"/>
  <c r="L47" i="18" s="1"/>
  <c r="N44" i="18"/>
  <c r="N47" i="18" s="1"/>
  <c r="M44" i="18"/>
  <c r="M47" i="18" s="1"/>
  <c r="O44" i="18"/>
  <c r="O47" i="18" s="1"/>
  <c r="R63" i="2"/>
  <c r="J64" i="2"/>
  <c r="I64" i="2"/>
  <c r="T44" i="18" l="1"/>
  <c r="T47" i="18" s="1"/>
  <c r="R20" i="30"/>
  <c r="AB43" i="18"/>
  <c r="Q44" i="18"/>
  <c r="V63" i="2"/>
  <c r="S44" i="18"/>
  <c r="S47" i="18" s="1"/>
  <c r="R64" i="2"/>
  <c r="J44" i="18" l="1"/>
  <c r="Q47" i="18"/>
  <c r="R21" i="30"/>
  <c r="V21" i="30" s="1"/>
  <c r="AC21" i="30" s="1"/>
  <c r="V20" i="30"/>
  <c r="AC63" i="2"/>
  <c r="V64" i="2"/>
  <c r="J65" i="2"/>
  <c r="I65" i="2"/>
  <c r="AC20" i="30" l="1"/>
  <c r="G202" i="26" s="1"/>
  <c r="AB44" i="18"/>
  <c r="AB47" i="18" s="1"/>
  <c r="AC64" i="2"/>
  <c r="R65" i="2"/>
  <c r="R22" i="30" s="1"/>
  <c r="V22" i="30" s="1"/>
  <c r="AC22" i="30" s="1"/>
  <c r="J66" i="2"/>
  <c r="I66" i="2"/>
  <c r="G203" i="26" l="1"/>
  <c r="G204" i="26"/>
  <c r="G201" i="26"/>
  <c r="V65" i="2"/>
  <c r="R66" i="2"/>
  <c r="I67" i="2"/>
  <c r="J67" i="2"/>
  <c r="R59" i="16" l="1"/>
  <c r="V59" i="16" s="1"/>
  <c r="AC59" i="16" s="1"/>
  <c r="AC65" i="2"/>
  <c r="V66" i="2"/>
  <c r="R67" i="2"/>
  <c r="R40" i="18" l="1"/>
  <c r="V40" i="18" s="1"/>
  <c r="AC40" i="18" s="1"/>
  <c r="AC66" i="2"/>
  <c r="V67" i="2"/>
  <c r="J68" i="2"/>
  <c r="I68" i="2"/>
  <c r="AC67" i="2" l="1"/>
  <c r="R68" i="2"/>
  <c r="J69" i="2"/>
  <c r="K25" i="16" s="1"/>
  <c r="I69" i="2"/>
  <c r="G25" i="16"/>
  <c r="R60" i="16" l="1"/>
  <c r="V60" i="16" s="1"/>
  <c r="AC60" i="16" s="1"/>
  <c r="AE41" i="30"/>
  <c r="G12" i="26"/>
  <c r="V68" i="2"/>
  <c r="L25" i="16"/>
  <c r="M25" i="16"/>
  <c r="O25" i="16"/>
  <c r="N25" i="16"/>
  <c r="R69" i="2"/>
  <c r="I25" i="16"/>
  <c r="J70" i="2"/>
  <c r="I70" i="2"/>
  <c r="T25" i="16" l="1"/>
  <c r="R25" i="16"/>
  <c r="AC68" i="2"/>
  <c r="Q25" i="16"/>
  <c r="V69" i="2"/>
  <c r="S25" i="16"/>
  <c r="R70" i="2"/>
  <c r="J71" i="2"/>
  <c r="I71" i="2"/>
  <c r="R41" i="18" l="1"/>
  <c r="V41" i="18" s="1"/>
  <c r="AC41" i="18" s="1"/>
  <c r="G26" i="17" s="1"/>
  <c r="AC69" i="2"/>
  <c r="J25" i="16"/>
  <c r="V70" i="2"/>
  <c r="R71" i="2"/>
  <c r="I72" i="2"/>
  <c r="J72" i="2"/>
  <c r="R42" i="18" l="1"/>
  <c r="V42" i="18" s="1"/>
  <c r="AC42" i="18" s="1"/>
  <c r="AB25" i="16"/>
  <c r="AC70" i="2"/>
  <c r="V25" i="16"/>
  <c r="V71" i="2"/>
  <c r="R72" i="2"/>
  <c r="R61" i="16" l="1"/>
  <c r="V61" i="16" s="1"/>
  <c r="AC61" i="16" s="1"/>
  <c r="AC25" i="16"/>
  <c r="AC71" i="2"/>
  <c r="V72" i="2"/>
  <c r="G13" i="26" l="1"/>
  <c r="AC72" i="2"/>
  <c r="G26" i="16" l="1"/>
  <c r="J73" i="2"/>
  <c r="K26" i="16" s="1"/>
  <c r="I73" i="2"/>
  <c r="N26" i="16" l="1"/>
  <c r="O26" i="16"/>
  <c r="M26" i="16"/>
  <c r="L26" i="16"/>
  <c r="R73" i="2"/>
  <c r="G27" i="16"/>
  <c r="I74" i="2"/>
  <c r="J74" i="2"/>
  <c r="K27" i="16" s="1"/>
  <c r="I26" i="16"/>
  <c r="T26" i="16" l="1"/>
  <c r="R26" i="16"/>
  <c r="V73" i="2"/>
  <c r="S26" i="16"/>
  <c r="Q26" i="16"/>
  <c r="O27" i="16"/>
  <c r="M27" i="16"/>
  <c r="L27" i="16"/>
  <c r="N27" i="16"/>
  <c r="R74" i="2"/>
  <c r="I27" i="16"/>
  <c r="T27" i="16" l="1"/>
  <c r="R27" i="16"/>
  <c r="AC73" i="2"/>
  <c r="J26" i="16"/>
  <c r="V74" i="2"/>
  <c r="S27" i="16"/>
  <c r="Q27" i="16"/>
  <c r="J27" i="16" s="1"/>
  <c r="G28" i="16"/>
  <c r="I75" i="2"/>
  <c r="J75" i="2"/>
  <c r="K28" i="16" s="1"/>
  <c r="AB26" i="16" l="1"/>
  <c r="AC74" i="2"/>
  <c r="V26" i="16"/>
  <c r="V27" i="16"/>
  <c r="N28" i="16"/>
  <c r="O28" i="16"/>
  <c r="M28" i="16"/>
  <c r="L28" i="16"/>
  <c r="R75" i="2"/>
  <c r="I28" i="16"/>
  <c r="I76" i="2"/>
  <c r="J76" i="2"/>
  <c r="T28" i="16" l="1"/>
  <c r="R28" i="16"/>
  <c r="AC26" i="16"/>
  <c r="AB27" i="16"/>
  <c r="AC27" i="16" s="1"/>
  <c r="V75" i="2"/>
  <c r="S28" i="16"/>
  <c r="Q28" i="16"/>
  <c r="J28" i="16" s="1"/>
  <c r="R76" i="2"/>
  <c r="R43" i="18" l="1"/>
  <c r="V43" i="18" s="1"/>
  <c r="AC43" i="18" s="1"/>
  <c r="G14" i="26"/>
  <c r="AC75" i="2"/>
  <c r="V28" i="16"/>
  <c r="V76" i="2"/>
  <c r="J77" i="2"/>
  <c r="I77" i="2"/>
  <c r="AB28" i="16" l="1"/>
  <c r="AC28" i="16" s="1"/>
  <c r="AC76" i="2"/>
  <c r="R77" i="2"/>
  <c r="R44" i="18" s="1"/>
  <c r="I78" i="2"/>
  <c r="J78" i="2"/>
  <c r="V44" i="18" l="1"/>
  <c r="R47" i="18"/>
  <c r="G16" i="26"/>
  <c r="V77" i="2"/>
  <c r="R78" i="2"/>
  <c r="R23" i="30" s="1"/>
  <c r="V23" i="30" s="1"/>
  <c r="AC23" i="30" s="1"/>
  <c r="G205" i="26" s="1"/>
  <c r="AC44" i="18" l="1"/>
  <c r="AC47" i="18" s="1"/>
  <c r="V47" i="18"/>
  <c r="G30" i="17"/>
  <c r="AC77" i="2"/>
  <c r="V78" i="2"/>
  <c r="I79" i="2"/>
  <c r="J79" i="2"/>
  <c r="G31" i="17" l="1"/>
  <c r="AC78" i="2"/>
  <c r="R79" i="2"/>
  <c r="R27" i="30" s="1"/>
  <c r="V27" i="30" s="1"/>
  <c r="AC27" i="30" s="1"/>
  <c r="G209" i="26" s="1"/>
  <c r="G29" i="16"/>
  <c r="I80" i="2"/>
  <c r="J80" i="2"/>
  <c r="K29" i="16" s="1"/>
  <c r="L29" i="16" l="1"/>
  <c r="O29" i="16"/>
  <c r="N29" i="16"/>
  <c r="M29" i="16"/>
  <c r="V79" i="2"/>
  <c r="AC79" i="2" s="1"/>
  <c r="I29" i="16"/>
  <c r="R80" i="2"/>
  <c r="T29" i="16" l="1"/>
  <c r="R29" i="16"/>
  <c r="G32" i="17"/>
  <c r="Q29" i="16"/>
  <c r="J29" i="16" s="1"/>
  <c r="V80" i="2"/>
  <c r="S29" i="16"/>
  <c r="I81" i="2"/>
  <c r="J81" i="2"/>
  <c r="G33" i="17" l="1"/>
  <c r="AC80" i="2"/>
  <c r="V29" i="16"/>
  <c r="R81" i="2"/>
  <c r="R28" i="30" s="1"/>
  <c r="V28" i="30" s="1"/>
  <c r="AC28" i="30" s="1"/>
  <c r="G210" i="26" s="1"/>
  <c r="AB29" i="16" l="1"/>
  <c r="AC29" i="16" s="1"/>
  <c r="V81" i="2"/>
  <c r="I82" i="2"/>
  <c r="J82" i="2"/>
  <c r="G19" i="26" l="1"/>
  <c r="AC81" i="2"/>
  <c r="R82" i="2"/>
  <c r="R62" i="16" s="1"/>
  <c r="V62" i="16" s="1"/>
  <c r="AC62" i="16" s="1"/>
  <c r="I83" i="2"/>
  <c r="J83" i="2"/>
  <c r="V82" i="2" l="1"/>
  <c r="R83" i="2"/>
  <c r="R63" i="16" s="1"/>
  <c r="V63" i="16" s="1"/>
  <c r="AC63" i="16" s="1"/>
  <c r="I84" i="2"/>
  <c r="J84" i="2"/>
  <c r="AC82" i="2" l="1"/>
  <c r="V83" i="2"/>
  <c r="R84" i="2"/>
  <c r="G27" i="17" l="1"/>
  <c r="R29" i="30"/>
  <c r="V29" i="30" s="1"/>
  <c r="AC29" i="30" s="1"/>
  <c r="G211" i="26" s="1"/>
  <c r="G34" i="17"/>
  <c r="AC83" i="2"/>
  <c r="V84" i="2"/>
  <c r="AC84" i="2" l="1"/>
  <c r="J85" i="2"/>
  <c r="I85" i="2"/>
  <c r="R85" i="2" l="1"/>
  <c r="R64" i="16" s="1"/>
  <c r="V64" i="16" s="1"/>
  <c r="AC64" i="16" s="1"/>
  <c r="V85" i="2" l="1"/>
  <c r="J86" i="2"/>
  <c r="K30" i="16" s="1"/>
  <c r="I86" i="2"/>
  <c r="G30" i="16"/>
  <c r="AC85" i="2" l="1"/>
  <c r="L30" i="16"/>
  <c r="N30" i="16"/>
  <c r="O30" i="16"/>
  <c r="M30" i="16"/>
  <c r="R86" i="2"/>
  <c r="I30" i="16"/>
  <c r="T30" i="16" l="1"/>
  <c r="R30" i="16"/>
  <c r="G35" i="17"/>
  <c r="V86" i="2"/>
  <c r="S30" i="16"/>
  <c r="Q30" i="16"/>
  <c r="J30" i="16" s="1"/>
  <c r="J87" i="2"/>
  <c r="I87" i="2"/>
  <c r="G49" i="18"/>
  <c r="AC86" i="2" l="1"/>
  <c r="V30" i="16"/>
  <c r="R87" i="2"/>
  <c r="R30" i="30" s="1"/>
  <c r="V30" i="30" s="1"/>
  <c r="AC30" i="30" s="1"/>
  <c r="G212" i="26" s="1"/>
  <c r="I49" i="18"/>
  <c r="I142" i="2"/>
  <c r="J142" i="2"/>
  <c r="K49" i="18" s="1"/>
  <c r="J88" i="2"/>
  <c r="I88" i="2"/>
  <c r="AB30" i="16" l="1"/>
  <c r="AC30" i="16" s="1"/>
  <c r="V87" i="2"/>
  <c r="O49" i="18"/>
  <c r="M49" i="18"/>
  <c r="L49" i="18"/>
  <c r="N49" i="18"/>
  <c r="R88" i="2"/>
  <c r="R31" i="30" s="1"/>
  <c r="V31" i="30" s="1"/>
  <c r="AC31" i="30" s="1"/>
  <c r="G213" i="26" s="1"/>
  <c r="G31" i="16"/>
  <c r="J89" i="2"/>
  <c r="K31" i="16" s="1"/>
  <c r="I89" i="2"/>
  <c r="R142" i="2"/>
  <c r="G50" i="18"/>
  <c r="T49" i="18" l="1"/>
  <c r="R49" i="18"/>
  <c r="G20" i="26"/>
  <c r="AC87" i="2"/>
  <c r="L31" i="16"/>
  <c r="M31" i="16"/>
  <c r="O31" i="16"/>
  <c r="N31" i="16"/>
  <c r="V142" i="2"/>
  <c r="S49" i="18"/>
  <c r="V88" i="2"/>
  <c r="Q49" i="18"/>
  <c r="I50" i="18"/>
  <c r="R89" i="2"/>
  <c r="I143" i="2"/>
  <c r="J143" i="2"/>
  <c r="K50" i="18" s="1"/>
  <c r="I31" i="16"/>
  <c r="J90" i="2"/>
  <c r="I90" i="2"/>
  <c r="J49" i="18" l="1"/>
  <c r="T31" i="16"/>
  <c r="R31" i="16"/>
  <c r="AC142" i="2"/>
  <c r="AC88" i="2"/>
  <c r="V49" i="18"/>
  <c r="L50" i="18"/>
  <c r="M50" i="18"/>
  <c r="N50" i="18"/>
  <c r="O50" i="18"/>
  <c r="Q31" i="16"/>
  <c r="J31" i="16" s="1"/>
  <c r="V89" i="2"/>
  <c r="S31" i="16"/>
  <c r="R90" i="2"/>
  <c r="R65" i="16" s="1"/>
  <c r="V65" i="16" s="1"/>
  <c r="AC65" i="16" s="1"/>
  <c r="J144" i="2"/>
  <c r="G51" i="18"/>
  <c r="I144" i="2"/>
  <c r="R143" i="2"/>
  <c r="I91" i="2"/>
  <c r="J91" i="2"/>
  <c r="T50" i="18" l="1"/>
  <c r="R50" i="18"/>
  <c r="AB49" i="18"/>
  <c r="AC89" i="2"/>
  <c r="V31" i="16"/>
  <c r="Q50" i="18"/>
  <c r="J50" i="18" s="1"/>
  <c r="V143" i="2"/>
  <c r="S50" i="18"/>
  <c r="V90" i="2"/>
  <c r="R144" i="2"/>
  <c r="R108" i="16" s="1"/>
  <c r="V108" i="16" s="1"/>
  <c r="AC108" i="16" s="1"/>
  <c r="I51" i="18"/>
  <c r="R91" i="2"/>
  <c r="R66" i="16" s="1"/>
  <c r="I92" i="2"/>
  <c r="J92" i="2"/>
  <c r="J145" i="2"/>
  <c r="K51" i="18" s="1"/>
  <c r="I145" i="2"/>
  <c r="V66" i="16" l="1"/>
  <c r="AC49" i="18"/>
  <c r="AB31" i="16"/>
  <c r="AC31" i="16" s="1"/>
  <c r="AC143" i="2"/>
  <c r="AC90" i="2"/>
  <c r="V50" i="18"/>
  <c r="V91" i="2"/>
  <c r="L51" i="18"/>
  <c r="O51" i="18"/>
  <c r="M51" i="18"/>
  <c r="N51" i="18"/>
  <c r="V144" i="2"/>
  <c r="J146" i="2"/>
  <c r="I146" i="2"/>
  <c r="R92" i="2"/>
  <c r="R24" i="30" s="1"/>
  <c r="R145" i="2"/>
  <c r="AC66" i="16" l="1"/>
  <c r="V24" i="30"/>
  <c r="T51" i="18"/>
  <c r="R51" i="18"/>
  <c r="AB50" i="18"/>
  <c r="AC91" i="2"/>
  <c r="AC144" i="2"/>
  <c r="V145" i="2"/>
  <c r="AC145" i="2" s="1"/>
  <c r="S51" i="18"/>
  <c r="V92" i="2"/>
  <c r="Q51" i="18"/>
  <c r="R146" i="2"/>
  <c r="R28" i="20" s="1"/>
  <c r="V28" i="20" s="1"/>
  <c r="AC28" i="20" s="1"/>
  <c r="J93" i="2"/>
  <c r="K32" i="16" s="1"/>
  <c r="I93" i="2"/>
  <c r="G32" i="16"/>
  <c r="I147" i="2"/>
  <c r="J147" i="2"/>
  <c r="G18" i="38" l="1"/>
  <c r="AC24" i="30"/>
  <c r="G206" i="26" s="1"/>
  <c r="AC50" i="18"/>
  <c r="AC92" i="2"/>
  <c r="L32" i="16"/>
  <c r="N32" i="16"/>
  <c r="O32" i="16"/>
  <c r="M32" i="16"/>
  <c r="V146" i="2"/>
  <c r="J51" i="18"/>
  <c r="V51" i="18" s="1"/>
  <c r="R93" i="2"/>
  <c r="J148" i="2"/>
  <c r="I148" i="2"/>
  <c r="G52" i="18"/>
  <c r="R147" i="2"/>
  <c r="R109" i="16" s="1"/>
  <c r="V109" i="16" s="1"/>
  <c r="AC109" i="16" s="1"/>
  <c r="G90" i="26" s="1"/>
  <c r="I32" i="16"/>
  <c r="I94" i="2"/>
  <c r="G33" i="16"/>
  <c r="J94" i="2"/>
  <c r="K33" i="16" s="1"/>
  <c r="T32" i="16" l="1"/>
  <c r="R32" i="16"/>
  <c r="AB51" i="18"/>
  <c r="AC146" i="2"/>
  <c r="V93" i="2"/>
  <c r="S32" i="16"/>
  <c r="V147" i="2"/>
  <c r="AC147" i="2" s="1"/>
  <c r="L33" i="16"/>
  <c r="N33" i="16"/>
  <c r="M33" i="16"/>
  <c r="O33" i="16"/>
  <c r="Q32" i="16"/>
  <c r="J32" i="16" s="1"/>
  <c r="R148" i="2"/>
  <c r="R27" i="20" s="1"/>
  <c r="R66" i="20" s="1"/>
  <c r="I52" i="18"/>
  <c r="R94" i="2"/>
  <c r="I149" i="2"/>
  <c r="J149" i="2"/>
  <c r="K52" i="18" s="1"/>
  <c r="I33" i="16"/>
  <c r="AC51" i="18" l="1"/>
  <c r="V27" i="20"/>
  <c r="V66" i="20" s="1"/>
  <c r="T33" i="16"/>
  <c r="R33" i="16"/>
  <c r="G37" i="17"/>
  <c r="AC93" i="2"/>
  <c r="V32" i="16"/>
  <c r="L52" i="18"/>
  <c r="N52" i="18"/>
  <c r="M52" i="18"/>
  <c r="O52" i="18"/>
  <c r="Q33" i="16"/>
  <c r="J33" i="16" s="1"/>
  <c r="V148" i="2"/>
  <c r="V94" i="2"/>
  <c r="S33" i="16"/>
  <c r="R149" i="2"/>
  <c r="I150" i="2"/>
  <c r="J150" i="2"/>
  <c r="T52" i="18" l="1"/>
  <c r="R52" i="18"/>
  <c r="G28" i="17"/>
  <c r="AC27" i="20"/>
  <c r="AB32" i="16"/>
  <c r="AC32" i="16" s="1"/>
  <c r="AC148" i="2"/>
  <c r="AC94" i="2"/>
  <c r="V33" i="16"/>
  <c r="V149" i="2"/>
  <c r="S52" i="18"/>
  <c r="Q52" i="18"/>
  <c r="J95" i="2"/>
  <c r="I95" i="2"/>
  <c r="J151" i="2"/>
  <c r="I151" i="2"/>
  <c r="R150" i="2"/>
  <c r="R110" i="16" s="1"/>
  <c r="V110" i="16" s="1"/>
  <c r="AC110" i="16" s="1"/>
  <c r="AC66" i="20" l="1"/>
  <c r="G17" i="38"/>
  <c r="G14" i="38"/>
  <c r="J52" i="18"/>
  <c r="AB33" i="16"/>
  <c r="AC33" i="16" s="1"/>
  <c r="AC149" i="2"/>
  <c r="V150" i="2"/>
  <c r="V52" i="18"/>
  <c r="R95" i="2"/>
  <c r="R32" i="30" s="1"/>
  <c r="R151" i="2"/>
  <c r="R111" i="16" s="1"/>
  <c r="V111" i="16" s="1"/>
  <c r="AC111" i="16" s="1"/>
  <c r="I152" i="2"/>
  <c r="J152" i="2"/>
  <c r="G53" i="18"/>
  <c r="G91" i="26" l="1"/>
  <c r="V32" i="30"/>
  <c r="R36" i="30"/>
  <c r="G21" i="26"/>
  <c r="AB52" i="18"/>
  <c r="AC52" i="18" s="1"/>
  <c r="G38" i="17" s="1"/>
  <c r="AC150" i="2"/>
  <c r="V95" i="2"/>
  <c r="V151" i="2"/>
  <c r="I53" i="18"/>
  <c r="I153" i="2"/>
  <c r="J153" i="2"/>
  <c r="K53" i="18" s="1"/>
  <c r="R152" i="2"/>
  <c r="R112" i="16" s="1"/>
  <c r="V112" i="16" s="1"/>
  <c r="AC112" i="16" s="1"/>
  <c r="G92" i="26" l="1"/>
  <c r="AC32" i="30"/>
  <c r="V36" i="30"/>
  <c r="AC151" i="2"/>
  <c r="AC95" i="2"/>
  <c r="L53" i="18"/>
  <c r="O53" i="18"/>
  <c r="N53" i="18"/>
  <c r="M53" i="18"/>
  <c r="V152" i="2"/>
  <c r="I96" i="2"/>
  <c r="J96" i="2"/>
  <c r="K34" i="16" s="1"/>
  <c r="G34" i="16"/>
  <c r="I154" i="2"/>
  <c r="J154" i="2"/>
  <c r="R153" i="2"/>
  <c r="AC36" i="30" l="1"/>
  <c r="G214" i="26"/>
  <c r="T53" i="18"/>
  <c r="R53" i="18"/>
  <c r="AC152" i="2"/>
  <c r="Q53" i="18"/>
  <c r="J53" i="18" s="1"/>
  <c r="V153" i="2"/>
  <c r="S53" i="18"/>
  <c r="L34" i="16"/>
  <c r="M34" i="16"/>
  <c r="O34" i="16"/>
  <c r="N34" i="16"/>
  <c r="R154" i="2"/>
  <c r="R113" i="16" s="1"/>
  <c r="V113" i="16" s="1"/>
  <c r="AC113" i="16" s="1"/>
  <c r="G54" i="18"/>
  <c r="I34" i="16"/>
  <c r="R96" i="2"/>
  <c r="G93" i="26" l="1"/>
  <c r="G29" i="17"/>
  <c r="T34" i="16"/>
  <c r="R34" i="16"/>
  <c r="AC153" i="2"/>
  <c r="Q34" i="16"/>
  <c r="J34" i="16" s="1"/>
  <c r="V96" i="2"/>
  <c r="S34" i="16"/>
  <c r="V154" i="2"/>
  <c r="V53" i="18"/>
  <c r="I54" i="18"/>
  <c r="G55" i="18"/>
  <c r="I155" i="2"/>
  <c r="J155" i="2"/>
  <c r="K54" i="18" s="1"/>
  <c r="G35" i="16"/>
  <c r="I97" i="2"/>
  <c r="J97" i="2"/>
  <c r="K35" i="16" s="1"/>
  <c r="G36" i="17" l="1"/>
  <c r="AB53" i="18"/>
  <c r="AC53" i="18" s="1"/>
  <c r="AC154" i="2"/>
  <c r="AC96" i="2"/>
  <c r="O54" i="18"/>
  <c r="L54" i="18"/>
  <c r="N54" i="18"/>
  <c r="M54" i="18"/>
  <c r="V34" i="16"/>
  <c r="L35" i="16"/>
  <c r="O35" i="16"/>
  <c r="M35" i="16"/>
  <c r="N35" i="16"/>
  <c r="I55" i="18"/>
  <c r="R97" i="2"/>
  <c r="J98" i="2"/>
  <c r="K36" i="16" s="1"/>
  <c r="G36" i="16"/>
  <c r="I98" i="2"/>
  <c r="I35" i="16"/>
  <c r="R155" i="2"/>
  <c r="J156" i="2"/>
  <c r="K55" i="18" s="1"/>
  <c r="I156" i="2"/>
  <c r="R156" i="2" l="1"/>
  <c r="R55" i="18" s="1"/>
  <c r="T35" i="16"/>
  <c r="R35" i="16"/>
  <c r="T54" i="18"/>
  <c r="R54" i="18"/>
  <c r="AB34" i="16"/>
  <c r="AC34" i="16" s="1"/>
  <c r="L55" i="18"/>
  <c r="M55" i="18"/>
  <c r="O55" i="18"/>
  <c r="N55" i="18"/>
  <c r="L36" i="16"/>
  <c r="N36" i="16"/>
  <c r="O36" i="16"/>
  <c r="M36" i="16"/>
  <c r="V97" i="2"/>
  <c r="S35" i="16"/>
  <c r="Q54" i="18"/>
  <c r="J54" i="18" s="1"/>
  <c r="V155" i="2"/>
  <c r="S54" i="18"/>
  <c r="Q35" i="16"/>
  <c r="J35" i="16" s="1"/>
  <c r="R98" i="2"/>
  <c r="I36" i="16"/>
  <c r="J157" i="2"/>
  <c r="I157" i="2"/>
  <c r="T55" i="18"/>
  <c r="G25" i="26" l="1"/>
  <c r="R57" i="18"/>
  <c r="R157" i="2"/>
  <c r="R114" i="16"/>
  <c r="V114" i="16" s="1"/>
  <c r="AC114" i="16" s="1"/>
  <c r="T36" i="16"/>
  <c r="R36" i="16"/>
  <c r="AC97" i="2"/>
  <c r="AC155" i="2"/>
  <c r="Q36" i="16"/>
  <c r="J36" i="16" s="1"/>
  <c r="V35" i="16"/>
  <c r="V54" i="18"/>
  <c r="V98" i="2"/>
  <c r="S36" i="16"/>
  <c r="V156" i="2"/>
  <c r="S55" i="18"/>
  <c r="Q55" i="18"/>
  <c r="J55" i="18" s="1"/>
  <c r="I158" i="2"/>
  <c r="J158" i="2"/>
  <c r="G94" i="26" l="1"/>
  <c r="AB54" i="18"/>
  <c r="AC54" i="18" s="1"/>
  <c r="G39" i="17" s="1"/>
  <c r="AB35" i="16"/>
  <c r="AC35" i="16" s="1"/>
  <c r="AC156" i="2"/>
  <c r="AC98" i="2"/>
  <c r="V36" i="16"/>
  <c r="V55" i="18"/>
  <c r="V157" i="2"/>
  <c r="R158" i="2"/>
  <c r="R116" i="16" s="1"/>
  <c r="V116" i="16" s="1"/>
  <c r="AC116" i="16" s="1"/>
  <c r="I99" i="2"/>
  <c r="G37" i="16"/>
  <c r="J99" i="2"/>
  <c r="K37" i="16" s="1"/>
  <c r="G26" i="26" l="1"/>
  <c r="AB55" i="18"/>
  <c r="AC55" i="18" s="1"/>
  <c r="AB36" i="16"/>
  <c r="AC36" i="16" s="1"/>
  <c r="G27" i="26" s="1"/>
  <c r="AC157" i="2"/>
  <c r="L37" i="16"/>
  <c r="N37" i="16"/>
  <c r="O37" i="16"/>
  <c r="M37" i="16"/>
  <c r="V158" i="2"/>
  <c r="R99" i="2"/>
  <c r="I37" i="16"/>
  <c r="G38" i="16"/>
  <c r="I100" i="2"/>
  <c r="J100" i="2"/>
  <c r="K38" i="16" s="1"/>
  <c r="I159" i="2"/>
  <c r="J159" i="2"/>
  <c r="R159" i="2" l="1"/>
  <c r="R115" i="16" s="1"/>
  <c r="V115" i="16" s="1"/>
  <c r="AC115" i="16" s="1"/>
  <c r="T37" i="16"/>
  <c r="R37" i="16"/>
  <c r="AC158" i="2"/>
  <c r="V99" i="2"/>
  <c r="S37" i="16"/>
  <c r="L38" i="16"/>
  <c r="O38" i="16"/>
  <c r="N38" i="16"/>
  <c r="M38" i="16"/>
  <c r="Q37" i="16"/>
  <c r="J37" i="16" s="1"/>
  <c r="R100" i="2"/>
  <c r="G39" i="16"/>
  <c r="I101" i="2"/>
  <c r="J101" i="2"/>
  <c r="K39" i="16" s="1"/>
  <c r="I160" i="2"/>
  <c r="J160" i="2"/>
  <c r="G59" i="18"/>
  <c r="I38" i="16"/>
  <c r="G95" i="26" l="1"/>
  <c r="T38" i="16"/>
  <c r="R38" i="16"/>
  <c r="AC99" i="2"/>
  <c r="V37" i="16"/>
  <c r="V159" i="2"/>
  <c r="V100" i="2"/>
  <c r="S38" i="16"/>
  <c r="Q38" i="16"/>
  <c r="J38" i="16" s="1"/>
  <c r="L39" i="16"/>
  <c r="M39" i="16"/>
  <c r="O39" i="16"/>
  <c r="N39" i="16"/>
  <c r="I59" i="18"/>
  <c r="R101" i="2"/>
  <c r="G60" i="18"/>
  <c r="I167" i="2"/>
  <c r="J167" i="2"/>
  <c r="K59" i="18" s="1"/>
  <c r="R160" i="2"/>
  <c r="R117" i="16" s="1"/>
  <c r="V117" i="16" s="1"/>
  <c r="AC117" i="16" s="1"/>
  <c r="G97" i="26" s="1"/>
  <c r="I39" i="16"/>
  <c r="T39" i="16" l="1"/>
  <c r="R39" i="16"/>
  <c r="AB37" i="16"/>
  <c r="AC37" i="16" s="1"/>
  <c r="G28" i="26" s="1"/>
  <c r="AC100" i="2"/>
  <c r="AC159" i="2"/>
  <c r="V38" i="16"/>
  <c r="L59" i="18"/>
  <c r="O59" i="18"/>
  <c r="M59" i="18"/>
  <c r="N59" i="18"/>
  <c r="V101" i="2"/>
  <c r="S39" i="16"/>
  <c r="V160" i="2"/>
  <c r="Q39" i="16"/>
  <c r="J39" i="16" s="1"/>
  <c r="I60" i="18"/>
  <c r="I168" i="2"/>
  <c r="J168" i="2"/>
  <c r="K60" i="18" s="1"/>
  <c r="R167" i="2"/>
  <c r="I102" i="2"/>
  <c r="G40" i="16"/>
  <c r="J102" i="2"/>
  <c r="K40" i="16" s="1"/>
  <c r="T59" i="18" l="1"/>
  <c r="R59" i="18"/>
  <c r="AB38" i="16"/>
  <c r="AC38" i="16" s="1"/>
  <c r="AC101" i="2"/>
  <c r="AC160" i="2"/>
  <c r="L40" i="16"/>
  <c r="M40" i="16"/>
  <c r="O40" i="16"/>
  <c r="N40" i="16"/>
  <c r="AB39" i="16"/>
  <c r="Q59" i="18"/>
  <c r="J59" i="18" s="1"/>
  <c r="O60" i="18"/>
  <c r="N60" i="18"/>
  <c r="M60" i="18"/>
  <c r="L60" i="18"/>
  <c r="V167" i="2"/>
  <c r="S59" i="18"/>
  <c r="V39" i="16"/>
  <c r="G63" i="18"/>
  <c r="I40" i="16"/>
  <c r="R102" i="2"/>
  <c r="R168" i="2"/>
  <c r="T40" i="16" l="1"/>
  <c r="R40" i="16"/>
  <c r="T60" i="18"/>
  <c r="R60" i="18"/>
  <c r="AC39" i="16"/>
  <c r="AC167" i="2"/>
  <c r="Q60" i="18"/>
  <c r="J60" i="18" s="1"/>
  <c r="V102" i="2"/>
  <c r="S40" i="16"/>
  <c r="V59" i="18"/>
  <c r="V168" i="2"/>
  <c r="AC168" i="2" s="1"/>
  <c r="S60" i="18"/>
  <c r="Q40" i="16"/>
  <c r="J40" i="16" s="1"/>
  <c r="I63" i="18"/>
  <c r="J175" i="2"/>
  <c r="K63" i="18" s="1"/>
  <c r="K66" i="18" s="1"/>
  <c r="I175" i="2"/>
  <c r="I103" i="2"/>
  <c r="G41" i="16"/>
  <c r="J103" i="2"/>
  <c r="K41" i="16" s="1"/>
  <c r="AB59" i="18" l="1"/>
  <c r="AC59" i="18" s="1"/>
  <c r="V60" i="18"/>
  <c r="AC102" i="2"/>
  <c r="V40" i="16"/>
  <c r="L41" i="16"/>
  <c r="M41" i="16"/>
  <c r="O41" i="16"/>
  <c r="N41" i="16"/>
  <c r="M63" i="18"/>
  <c r="M66" i="18" s="1"/>
  <c r="L63" i="18"/>
  <c r="L66" i="18" s="1"/>
  <c r="O63" i="18"/>
  <c r="O66" i="18" s="1"/>
  <c r="N63" i="18"/>
  <c r="N66" i="18" s="1"/>
  <c r="R175" i="2"/>
  <c r="R63" i="18" s="1"/>
  <c r="J104" i="2"/>
  <c r="K42" i="16" s="1"/>
  <c r="K84" i="16" s="1"/>
  <c r="G42" i="16"/>
  <c r="I104" i="2"/>
  <c r="I41" i="16"/>
  <c r="R103" i="2"/>
  <c r="R41" i="16" s="1"/>
  <c r="I176" i="2"/>
  <c r="J176" i="2"/>
  <c r="G64" i="18"/>
  <c r="AB60" i="18" l="1"/>
  <c r="AC60" i="18" s="1"/>
  <c r="AB40" i="16"/>
  <c r="AC40" i="16" s="1"/>
  <c r="S41" i="16"/>
  <c r="T41" i="16"/>
  <c r="S63" i="18"/>
  <c r="T63" i="18"/>
  <c r="N42" i="16"/>
  <c r="N84" i="16" s="1"/>
  <c r="M42" i="16"/>
  <c r="M84" i="16" s="1"/>
  <c r="L42" i="16"/>
  <c r="L84" i="16" s="1"/>
  <c r="O42" i="16"/>
  <c r="O84" i="16" s="1"/>
  <c r="Q41" i="16"/>
  <c r="J41" i="16" s="1"/>
  <c r="Q63" i="18"/>
  <c r="V175" i="2"/>
  <c r="R104" i="2"/>
  <c r="R140" i="2" s="1"/>
  <c r="I64" i="18"/>
  <c r="R176" i="2"/>
  <c r="R22" i="16" s="1"/>
  <c r="V103" i="2"/>
  <c r="AC103" i="2" s="1"/>
  <c r="I42" i="16"/>
  <c r="I177" i="2"/>
  <c r="G65" i="18"/>
  <c r="J177" i="2"/>
  <c r="G24" i="26" l="1"/>
  <c r="R42" i="16"/>
  <c r="R84" i="16" s="1"/>
  <c r="V22" i="16"/>
  <c r="R23" i="16"/>
  <c r="G22" i="26"/>
  <c r="AC175" i="2"/>
  <c r="T42" i="16"/>
  <c r="T84" i="16" s="1"/>
  <c r="V41" i="16"/>
  <c r="S42" i="16"/>
  <c r="S84" i="16" s="1"/>
  <c r="Q42" i="16"/>
  <c r="Q84" i="16" s="1"/>
  <c r="J63" i="18"/>
  <c r="V176" i="2"/>
  <c r="V104" i="2"/>
  <c r="V140" i="2" s="1"/>
  <c r="I65" i="18"/>
  <c r="R177" i="2"/>
  <c r="I178" i="2"/>
  <c r="J178" i="2"/>
  <c r="T64" i="18" l="1"/>
  <c r="R64" i="18"/>
  <c r="AC22" i="16"/>
  <c r="V23" i="16"/>
  <c r="AB63" i="18"/>
  <c r="AB41" i="16"/>
  <c r="AC41" i="16" s="1"/>
  <c r="AC176" i="2"/>
  <c r="AC104" i="2"/>
  <c r="AC140" i="2" s="1"/>
  <c r="V63" i="18"/>
  <c r="J42" i="16"/>
  <c r="Q64" i="18"/>
  <c r="V177" i="2"/>
  <c r="AC177" i="2" s="1"/>
  <c r="S64" i="18"/>
  <c r="R178" i="2"/>
  <c r="R65" i="18" s="1"/>
  <c r="G17" i="26" l="1"/>
  <c r="G15" i="26"/>
  <c r="G34" i="26"/>
  <c r="R66" i="18"/>
  <c r="AC23" i="16"/>
  <c r="G18" i="26"/>
  <c r="AB42" i="16"/>
  <c r="AB84" i="16" s="1"/>
  <c r="AC63" i="18"/>
  <c r="S65" i="18"/>
  <c r="S66" i="18" s="1"/>
  <c r="T65" i="18"/>
  <c r="T66" i="18" s="1"/>
  <c r="V42" i="16"/>
  <c r="V84" i="16" s="1"/>
  <c r="Q65" i="18"/>
  <c r="J65" i="18" s="1"/>
  <c r="J64" i="18"/>
  <c r="V178" i="2"/>
  <c r="AC178" i="2" s="1"/>
  <c r="G68" i="18"/>
  <c r="I179" i="2"/>
  <c r="J179" i="2"/>
  <c r="Q66" i="18" l="1"/>
  <c r="G44" i="17"/>
  <c r="AB64" i="18"/>
  <c r="AC42" i="16"/>
  <c r="V64" i="18"/>
  <c r="V65" i="18"/>
  <c r="I68" i="18"/>
  <c r="R179" i="2"/>
  <c r="I185" i="2"/>
  <c r="J185" i="2"/>
  <c r="K68" i="18" s="1"/>
  <c r="G69" i="18"/>
  <c r="AC84" i="16" l="1"/>
  <c r="G35" i="26"/>
  <c r="G36" i="26"/>
  <c r="V66" i="18"/>
  <c r="R183" i="2"/>
  <c r="R173" i="16"/>
  <c r="G23" i="26"/>
  <c r="AB65" i="18"/>
  <c r="AC65" i="18" s="1"/>
  <c r="G46" i="17" s="1"/>
  <c r="AC64" i="18"/>
  <c r="O68" i="18"/>
  <c r="L68" i="18"/>
  <c r="M68" i="18"/>
  <c r="N68" i="18"/>
  <c r="I69" i="18"/>
  <c r="I186" i="2"/>
  <c r="J186" i="2"/>
  <c r="K69" i="18" s="1"/>
  <c r="R185" i="2"/>
  <c r="V179" i="2"/>
  <c r="V183" i="2" s="1"/>
  <c r="AB66" i="18" l="1"/>
  <c r="AC66" i="18"/>
  <c r="R68" i="18"/>
  <c r="V173" i="16"/>
  <c r="AC179" i="2"/>
  <c r="AC183" i="2" s="1"/>
  <c r="S68" i="18"/>
  <c r="T68" i="18"/>
  <c r="Q68" i="18"/>
  <c r="O69" i="18"/>
  <c r="M69" i="18"/>
  <c r="N69" i="18"/>
  <c r="L69" i="18"/>
  <c r="V185" i="2"/>
  <c r="R186" i="2"/>
  <c r="I187" i="2"/>
  <c r="J187" i="2"/>
  <c r="T69" i="18" l="1"/>
  <c r="R69" i="18"/>
  <c r="AC173" i="16"/>
  <c r="G151" i="26" s="1"/>
  <c r="AC185" i="2"/>
  <c r="Q69" i="18"/>
  <c r="J69" i="18" s="1"/>
  <c r="V186" i="2"/>
  <c r="S69" i="18"/>
  <c r="J68" i="18"/>
  <c r="R187" i="2"/>
  <c r="R81" i="20" s="1"/>
  <c r="V81" i="20" s="1"/>
  <c r="AC81" i="20" s="1"/>
  <c r="AB68" i="18" l="1"/>
  <c r="AC186" i="2"/>
  <c r="V68" i="18"/>
  <c r="V187" i="2"/>
  <c r="V69" i="18"/>
  <c r="AC68" i="18" l="1"/>
  <c r="G51" i="17" s="1"/>
  <c r="AB69" i="18"/>
  <c r="AC187" i="2"/>
  <c r="I190" i="2"/>
  <c r="J190" i="2"/>
  <c r="G47" i="17" l="1"/>
  <c r="AC69" i="18"/>
  <c r="R190" i="2"/>
  <c r="R82" i="20" s="1"/>
  <c r="V82" i="20" s="1"/>
  <c r="AC82" i="20" s="1"/>
  <c r="G66" i="38" l="1"/>
  <c r="G48" i="17"/>
  <c r="G50" i="17"/>
  <c r="G49" i="17"/>
  <c r="V190" i="2"/>
  <c r="I191" i="2"/>
  <c r="J191" i="2"/>
  <c r="AC190" i="2" l="1"/>
  <c r="I192" i="2"/>
  <c r="J192" i="2"/>
  <c r="R191" i="2"/>
  <c r="R169" i="16" s="1"/>
  <c r="V169" i="16" l="1"/>
  <c r="R171" i="16"/>
  <c r="V191" i="2"/>
  <c r="R192" i="2"/>
  <c r="R83" i="20" s="1"/>
  <c r="V83" i="20" s="1"/>
  <c r="AC83" i="20" s="1"/>
  <c r="G72" i="18"/>
  <c r="G63" i="38" l="1"/>
  <c r="G67" i="38"/>
  <c r="AC169" i="16"/>
  <c r="G149" i="26" s="1"/>
  <c r="V171" i="16"/>
  <c r="AC191" i="2"/>
  <c r="V192" i="2"/>
  <c r="G76" i="18"/>
  <c r="I193" i="2"/>
  <c r="J193" i="2"/>
  <c r="K72" i="18" s="1"/>
  <c r="K74" i="18" s="1"/>
  <c r="G145" i="26" l="1"/>
  <c r="G147" i="26"/>
  <c r="G96" i="26"/>
  <c r="AC171" i="16"/>
  <c r="AC192" i="2"/>
  <c r="L72" i="18"/>
  <c r="L74" i="18" s="1"/>
  <c r="M72" i="18"/>
  <c r="M74" i="18" s="1"/>
  <c r="N72" i="18"/>
  <c r="N74" i="18" s="1"/>
  <c r="O72" i="18"/>
  <c r="O74" i="18" s="1"/>
  <c r="I76" i="18"/>
  <c r="R193" i="2"/>
  <c r="R72" i="18" s="1"/>
  <c r="R74" i="18" s="1"/>
  <c r="I72" i="18"/>
  <c r="J204" i="2"/>
  <c r="K76" i="18" s="1"/>
  <c r="I204" i="2"/>
  <c r="S72" i="18" l="1"/>
  <c r="S74" i="18" s="1"/>
  <c r="T72" i="18"/>
  <c r="T74" i="18" s="1"/>
  <c r="L76" i="18"/>
  <c r="M76" i="18"/>
  <c r="N76" i="18"/>
  <c r="O76" i="18"/>
  <c r="Q72" i="18"/>
  <c r="Q74" i="18" s="1"/>
  <c r="R204" i="2"/>
  <c r="G77" i="18"/>
  <c r="J205" i="2"/>
  <c r="K86" i="16" s="1"/>
  <c r="I205" i="2"/>
  <c r="G86" i="16"/>
  <c r="V193" i="2"/>
  <c r="AC193" i="2" s="1"/>
  <c r="R76" i="18" l="1"/>
  <c r="J72" i="18"/>
  <c r="S76" i="18"/>
  <c r="T76" i="18"/>
  <c r="Q76" i="18"/>
  <c r="M86" i="16"/>
  <c r="O86" i="16"/>
  <c r="N86" i="16"/>
  <c r="L86" i="16"/>
  <c r="V204" i="2"/>
  <c r="I77" i="18"/>
  <c r="R205" i="2"/>
  <c r="R86" i="16" s="1"/>
  <c r="I86" i="16"/>
  <c r="I206" i="2"/>
  <c r="J206" i="2"/>
  <c r="K77" i="18" s="1"/>
  <c r="G52" i="17" l="1"/>
  <c r="V72" i="18"/>
  <c r="V74" i="18" s="1"/>
  <c r="AB72" i="18"/>
  <c r="AB74" i="18" s="1"/>
  <c r="AC204" i="2"/>
  <c r="S86" i="16"/>
  <c r="T86" i="16"/>
  <c r="Q86" i="16"/>
  <c r="M77" i="18"/>
  <c r="O77" i="18"/>
  <c r="L77" i="18"/>
  <c r="N77" i="18"/>
  <c r="J76" i="18"/>
  <c r="V205" i="2"/>
  <c r="AC205" i="2" s="1"/>
  <c r="R206" i="2"/>
  <c r="I207" i="2"/>
  <c r="J207" i="2"/>
  <c r="T77" i="18" l="1"/>
  <c r="R77" i="18"/>
  <c r="AC72" i="18"/>
  <c r="AC74" i="18" s="1"/>
  <c r="AB76" i="18"/>
  <c r="V76" i="18"/>
  <c r="Q77" i="18"/>
  <c r="J86" i="16"/>
  <c r="V206" i="2"/>
  <c r="S77" i="18"/>
  <c r="G78" i="18"/>
  <c r="J208" i="2"/>
  <c r="K87" i="16" s="1"/>
  <c r="I208" i="2"/>
  <c r="G87" i="16"/>
  <c r="R207" i="2"/>
  <c r="R88" i="16" s="1"/>
  <c r="V88" i="16" s="1"/>
  <c r="AC88" i="16" s="1"/>
  <c r="AB86" i="16" l="1"/>
  <c r="AC76" i="18"/>
  <c r="V86" i="16"/>
  <c r="AC206" i="2"/>
  <c r="J77" i="18"/>
  <c r="O87" i="16"/>
  <c r="M87" i="16"/>
  <c r="N87" i="16"/>
  <c r="L87" i="16"/>
  <c r="V207" i="2"/>
  <c r="I78" i="18"/>
  <c r="R208" i="2"/>
  <c r="I87" i="16"/>
  <c r="I209" i="2"/>
  <c r="J209" i="2"/>
  <c r="K78" i="18" s="1"/>
  <c r="T87" i="16" l="1"/>
  <c r="R87" i="16"/>
  <c r="AC86" i="16"/>
  <c r="AB77" i="18"/>
  <c r="AC207" i="2"/>
  <c r="V77" i="18"/>
  <c r="Q87" i="16"/>
  <c r="V208" i="2"/>
  <c r="S87" i="16"/>
  <c r="O78" i="18"/>
  <c r="M78" i="18"/>
  <c r="L78" i="18"/>
  <c r="N78" i="18"/>
  <c r="R209" i="2"/>
  <c r="R78" i="18" s="1"/>
  <c r="J210" i="2"/>
  <c r="G79" i="18"/>
  <c r="I210" i="2"/>
  <c r="AC77" i="18" l="1"/>
  <c r="AC208" i="2"/>
  <c r="S78" i="18"/>
  <c r="T78" i="18"/>
  <c r="J87" i="16"/>
  <c r="Q78" i="18"/>
  <c r="V209" i="2"/>
  <c r="AC209" i="2" s="1"/>
  <c r="I79" i="18"/>
  <c r="R210" i="2"/>
  <c r="R13" i="30" s="1"/>
  <c r="I211" i="2"/>
  <c r="J211" i="2"/>
  <c r="K79" i="18" s="1"/>
  <c r="G53" i="17" l="1"/>
  <c r="V13" i="30"/>
  <c r="AB87" i="16"/>
  <c r="V87" i="16"/>
  <c r="L79" i="18"/>
  <c r="N79" i="18"/>
  <c r="M79" i="18"/>
  <c r="O79" i="18"/>
  <c r="J78" i="18"/>
  <c r="V210" i="2"/>
  <c r="AC210" i="2" s="1"/>
  <c r="R211" i="2"/>
  <c r="G80" i="18"/>
  <c r="I212" i="2"/>
  <c r="J212" i="2"/>
  <c r="T79" i="18" l="1"/>
  <c r="R79" i="18"/>
  <c r="AC13" i="30"/>
  <c r="AC87" i="16"/>
  <c r="AB78" i="18"/>
  <c r="V78" i="18"/>
  <c r="V211" i="2"/>
  <c r="S79" i="18"/>
  <c r="Q79" i="18"/>
  <c r="I80" i="18"/>
  <c r="R212" i="2"/>
  <c r="R14" i="30" s="1"/>
  <c r="I213" i="2"/>
  <c r="J213" i="2"/>
  <c r="K80" i="18" s="1"/>
  <c r="V14" i="30" l="1"/>
  <c r="R15" i="30"/>
  <c r="G197" i="26"/>
  <c r="G29" i="26"/>
  <c r="AC78" i="18"/>
  <c r="AC211" i="2"/>
  <c r="L80" i="18"/>
  <c r="O80" i="18"/>
  <c r="N80" i="18"/>
  <c r="M80" i="18"/>
  <c r="J79" i="18"/>
  <c r="V212" i="2"/>
  <c r="AC212" i="2" s="1"/>
  <c r="J214" i="2"/>
  <c r="K89" i="16" s="1"/>
  <c r="G89" i="16"/>
  <c r="G81" i="18"/>
  <c r="I214" i="2"/>
  <c r="R213" i="2"/>
  <c r="G56" i="17" l="1"/>
  <c r="G59" i="17"/>
  <c r="R38" i="30"/>
  <c r="J12" i="23" s="1"/>
  <c r="N12" i="23" s="1"/>
  <c r="U12" i="23" s="1"/>
  <c r="T80" i="18"/>
  <c r="R80" i="18"/>
  <c r="AC14" i="30"/>
  <c r="V15" i="30"/>
  <c r="V38" i="30" s="1"/>
  <c r="AB79" i="18"/>
  <c r="V79" i="18"/>
  <c r="V213" i="2"/>
  <c r="S80" i="18"/>
  <c r="N89" i="16"/>
  <c r="M89" i="16"/>
  <c r="L89" i="16"/>
  <c r="O89" i="16"/>
  <c r="Q80" i="18"/>
  <c r="J80" i="18" s="1"/>
  <c r="R214" i="2"/>
  <c r="I81" i="18"/>
  <c r="I89" i="16"/>
  <c r="J215" i="2"/>
  <c r="K81" i="18" s="1"/>
  <c r="K83" i="18" s="1"/>
  <c r="I215" i="2"/>
  <c r="G198" i="26" l="1"/>
  <c r="J194" i="26" s="1"/>
  <c r="AC15" i="30"/>
  <c r="AC38" i="30" s="1"/>
  <c r="T89" i="16"/>
  <c r="R89" i="16"/>
  <c r="AC79" i="18"/>
  <c r="AC213" i="2"/>
  <c r="V214" i="2"/>
  <c r="S89" i="16"/>
  <c r="Q89" i="16"/>
  <c r="O81" i="18"/>
  <c r="O83" i="18" s="1"/>
  <c r="M81" i="18"/>
  <c r="M83" i="18" s="1"/>
  <c r="L81" i="18"/>
  <c r="L83" i="18" s="1"/>
  <c r="N81" i="18"/>
  <c r="N83" i="18" s="1"/>
  <c r="V80" i="18"/>
  <c r="R215" i="2"/>
  <c r="I216" i="2"/>
  <c r="J216" i="2"/>
  <c r="K92" i="16" s="1"/>
  <c r="G92" i="16"/>
  <c r="I217" i="2"/>
  <c r="G90" i="16"/>
  <c r="J217" i="2"/>
  <c r="K90" i="16" s="1"/>
  <c r="AE40" i="30" l="1"/>
  <c r="W12" i="23" s="1"/>
  <c r="T81" i="18"/>
  <c r="T83" i="18" s="1"/>
  <c r="R81" i="18"/>
  <c r="R83" i="18" s="1"/>
  <c r="X12" i="23"/>
  <c r="AB80" i="18"/>
  <c r="AC80" i="18" s="1"/>
  <c r="G60" i="17" s="1"/>
  <c r="AC214" i="2"/>
  <c r="L92" i="16"/>
  <c r="O92" i="16"/>
  <c r="N92" i="16"/>
  <c r="M92" i="16"/>
  <c r="J89" i="16"/>
  <c r="Q81" i="18"/>
  <c r="L90" i="16"/>
  <c r="M90" i="16"/>
  <c r="N90" i="16"/>
  <c r="O90" i="16"/>
  <c r="V215" i="2"/>
  <c r="S81" i="18"/>
  <c r="S83" i="18" s="1"/>
  <c r="R217" i="2"/>
  <c r="I90" i="16"/>
  <c r="J218" i="2"/>
  <c r="I218" i="2"/>
  <c r="I92" i="16"/>
  <c r="R216" i="2"/>
  <c r="G54" i="17" l="1"/>
  <c r="G57" i="17"/>
  <c r="J81" i="18"/>
  <c r="Q83" i="18"/>
  <c r="AE42" i="30"/>
  <c r="T90" i="16"/>
  <c r="R90" i="16"/>
  <c r="T92" i="16"/>
  <c r="R92" i="16"/>
  <c r="AB89" i="16"/>
  <c r="V89" i="16"/>
  <c r="AC215" i="2"/>
  <c r="Q90" i="16"/>
  <c r="V81" i="18"/>
  <c r="V83" i="18" s="1"/>
  <c r="Q92" i="16"/>
  <c r="J92" i="16" s="1"/>
  <c r="V216" i="2"/>
  <c r="S92" i="16"/>
  <c r="V217" i="2"/>
  <c r="S90" i="16"/>
  <c r="R218" i="2"/>
  <c r="R91" i="16" s="1"/>
  <c r="V91" i="16" s="1"/>
  <c r="AC91" i="16" s="1"/>
  <c r="AC89" i="16" l="1"/>
  <c r="AB81" i="18"/>
  <c r="AC216" i="2"/>
  <c r="AC217" i="2"/>
  <c r="J90" i="16"/>
  <c r="V218" i="2"/>
  <c r="V92" i="16"/>
  <c r="I233" i="2"/>
  <c r="J233" i="2"/>
  <c r="J228" i="2"/>
  <c r="I228" i="2"/>
  <c r="J219" i="2"/>
  <c r="K93" i="16" s="1"/>
  <c r="K98" i="16" s="1"/>
  <c r="I219" i="2"/>
  <c r="G93" i="16"/>
  <c r="AC81" i="18" l="1"/>
  <c r="AB83" i="18"/>
  <c r="G31" i="26"/>
  <c r="AB90" i="16"/>
  <c r="AB92" i="16"/>
  <c r="AC92" i="16" s="1"/>
  <c r="V90" i="16"/>
  <c r="AC218" i="2"/>
  <c r="M93" i="16"/>
  <c r="M98" i="16" s="1"/>
  <c r="N93" i="16"/>
  <c r="N98" i="16" s="1"/>
  <c r="L93" i="16"/>
  <c r="L98" i="16" s="1"/>
  <c r="O93" i="16"/>
  <c r="O98" i="16" s="1"/>
  <c r="R228" i="2"/>
  <c r="R76" i="20" s="1"/>
  <c r="R219" i="2"/>
  <c r="R233" i="2"/>
  <c r="R72" i="20" s="1"/>
  <c r="I93" i="16"/>
  <c r="J234" i="2"/>
  <c r="I234" i="2"/>
  <c r="G58" i="17" l="1"/>
  <c r="G61" i="17"/>
  <c r="R93" i="16"/>
  <c r="R98" i="16" s="1"/>
  <c r="R226" i="2"/>
  <c r="G55" i="17"/>
  <c r="AC83" i="18"/>
  <c r="V72" i="20"/>
  <c r="R77" i="20"/>
  <c r="V76" i="20"/>
  <c r="G33" i="26"/>
  <c r="AC90" i="16"/>
  <c r="T93" i="16"/>
  <c r="T98" i="16" s="1"/>
  <c r="S93" i="16"/>
  <c r="S98" i="16" s="1"/>
  <c r="Q93" i="16"/>
  <c r="Q98" i="16" s="1"/>
  <c r="V233" i="2"/>
  <c r="V228" i="2"/>
  <c r="V219" i="2"/>
  <c r="V226" i="2" s="1"/>
  <c r="R234" i="2"/>
  <c r="R23" i="20" s="1"/>
  <c r="I235" i="2"/>
  <c r="J235" i="2"/>
  <c r="V23" i="20" l="1"/>
  <c r="V77" i="20"/>
  <c r="AC76" i="20"/>
  <c r="AC72" i="20"/>
  <c r="G30" i="26"/>
  <c r="G32" i="26"/>
  <c r="AC233" i="2"/>
  <c r="AC219" i="2"/>
  <c r="AC226" i="2" s="1"/>
  <c r="AC228" i="2"/>
  <c r="X180" i="16"/>
  <c r="J93" i="16"/>
  <c r="V234" i="2"/>
  <c r="I236" i="2"/>
  <c r="J236" i="2"/>
  <c r="R235" i="2"/>
  <c r="R80" i="20" s="1"/>
  <c r="G62" i="38" l="1"/>
  <c r="G57" i="38"/>
  <c r="AC77" i="20"/>
  <c r="V80" i="20"/>
  <c r="G39" i="38"/>
  <c r="AC23" i="20"/>
  <c r="G15" i="38" s="1"/>
  <c r="W180" i="16"/>
  <c r="AB93" i="16"/>
  <c r="AB98" i="16" s="1"/>
  <c r="AC234" i="2"/>
  <c r="V93" i="16"/>
  <c r="V98" i="16" s="1"/>
  <c r="V235" i="2"/>
  <c r="R236" i="2"/>
  <c r="R11" i="20" s="1"/>
  <c r="V11" i="20" l="1"/>
  <c r="G12" i="38"/>
  <c r="AC80" i="20"/>
  <c r="G61" i="38" s="1"/>
  <c r="AC93" i="16"/>
  <c r="AC98" i="16" s="1"/>
  <c r="AC235" i="2"/>
  <c r="V236" i="2"/>
  <c r="AC236" i="2" s="1"/>
  <c r="J237" i="2"/>
  <c r="I237" i="2"/>
  <c r="G60" i="38" l="1"/>
  <c r="G41" i="38"/>
  <c r="AC11" i="20"/>
  <c r="R237" i="2"/>
  <c r="R12" i="20" s="1"/>
  <c r="R21" i="20" s="1"/>
  <c r="I238" i="2"/>
  <c r="J238" i="2"/>
  <c r="G8" i="38" l="1"/>
  <c r="V12" i="20"/>
  <c r="V21" i="20" s="1"/>
  <c r="V237" i="2"/>
  <c r="AC237" i="2" s="1"/>
  <c r="J239" i="2"/>
  <c r="I239" i="2"/>
  <c r="R238" i="2"/>
  <c r="R70" i="20" s="1"/>
  <c r="V70" i="20" l="1"/>
  <c r="AC12" i="20"/>
  <c r="AC21" i="20" s="1"/>
  <c r="V238" i="2"/>
  <c r="R239" i="2"/>
  <c r="R24" i="20" s="1"/>
  <c r="I240" i="2"/>
  <c r="J240" i="2"/>
  <c r="AC70" i="20" l="1"/>
  <c r="G58" i="38" s="1"/>
  <c r="V24" i="20"/>
  <c r="R25" i="20"/>
  <c r="G9" i="38"/>
  <c r="AC238" i="2"/>
  <c r="V239" i="2"/>
  <c r="AC239" i="2" s="1"/>
  <c r="O10" i="21"/>
  <c r="O12" i="21" s="1"/>
  <c r="N10" i="21"/>
  <c r="N12" i="21" s="1"/>
  <c r="M10" i="21"/>
  <c r="M12" i="21" s="1"/>
  <c r="K10" i="21"/>
  <c r="K12" i="21" s="1"/>
  <c r="AG8" i="21"/>
  <c r="R240" i="2"/>
  <c r="R71" i="20" s="1"/>
  <c r="G54" i="38" l="1"/>
  <c r="V71" i="20"/>
  <c r="R74" i="20"/>
  <c r="AC24" i="20"/>
  <c r="V25" i="20"/>
  <c r="T10" i="21"/>
  <c r="T12" i="21" s="1"/>
  <c r="V240" i="2"/>
  <c r="S10" i="21"/>
  <c r="S12" i="21" s="1"/>
  <c r="L10" i="21"/>
  <c r="L12" i="21" s="1"/>
  <c r="AC25" i="20" l="1"/>
  <c r="G16" i="38"/>
  <c r="AC71" i="20"/>
  <c r="G59" i="38" s="1"/>
  <c r="V74" i="20"/>
  <c r="G13" i="38"/>
  <c r="AC240" i="2"/>
  <c r="AH8" i="21"/>
  <c r="Q10" i="21"/>
  <c r="Q12" i="21" s="1"/>
  <c r="X10" i="21"/>
  <c r="X12" i="21" s="1"/>
  <c r="AC74" i="20" l="1"/>
  <c r="G56" i="38"/>
  <c r="G55" i="38"/>
  <c r="AB10" i="21"/>
  <c r="AB12" i="21" s="1"/>
  <c r="AG9" i="21"/>
  <c r="W10" i="21"/>
  <c r="W12" i="21" s="1"/>
  <c r="R10" i="21"/>
  <c r="R12" i="21" s="1"/>
  <c r="V10" i="21"/>
  <c r="V12" i="21" s="1"/>
  <c r="I12" i="2"/>
  <c r="J12" i="2"/>
  <c r="K9" i="14" s="1"/>
  <c r="K10" i="14" s="1"/>
  <c r="G9" i="14"/>
  <c r="I243" i="2"/>
  <c r="J243" i="2"/>
  <c r="AE14" i="21" l="1"/>
  <c r="N9" i="14"/>
  <c r="N10" i="14" s="1"/>
  <c r="M9" i="14"/>
  <c r="M10" i="14" s="1"/>
  <c r="O9" i="14"/>
  <c r="O10" i="14" s="1"/>
  <c r="L9" i="14"/>
  <c r="R243" i="2"/>
  <c r="I9" i="14"/>
  <c r="R12" i="2"/>
  <c r="R9" i="14" s="1"/>
  <c r="R13" i="14" l="1"/>
  <c r="V13" i="14" s="1"/>
  <c r="AC13" i="14" s="1"/>
  <c r="R35" i="2"/>
  <c r="R40" i="2"/>
  <c r="AC10" i="21"/>
  <c r="T9" i="14"/>
  <c r="T10" i="14" s="1"/>
  <c r="AH9" i="21"/>
  <c r="S9" i="14"/>
  <c r="S10" i="14" s="1"/>
  <c r="L10" i="14"/>
  <c r="Q9" i="14"/>
  <c r="V243" i="2"/>
  <c r="V12" i="2"/>
  <c r="J244" i="2"/>
  <c r="K12" i="14" s="1"/>
  <c r="K17" i="14" s="1"/>
  <c r="G12" i="14"/>
  <c r="I244" i="2"/>
  <c r="V35" i="2" l="1"/>
  <c r="V40" i="2"/>
  <c r="AE16" i="21"/>
  <c r="AC243" i="2"/>
  <c r="AC12" i="21"/>
  <c r="AC12" i="2"/>
  <c r="X9" i="14"/>
  <c r="X10" i="14" s="1"/>
  <c r="Q10" i="14"/>
  <c r="J9" i="14"/>
  <c r="R10" i="14" s="1"/>
  <c r="W9" i="14"/>
  <c r="N12" i="14"/>
  <c r="N17" i="14" s="1"/>
  <c r="L12" i="14"/>
  <c r="L17" i="14" s="1"/>
  <c r="O12" i="14"/>
  <c r="O17" i="14" s="1"/>
  <c r="M12" i="14"/>
  <c r="M17" i="14" s="1"/>
  <c r="R244" i="2"/>
  <c r="G25" i="14"/>
  <c r="I245" i="2"/>
  <c r="J245" i="2"/>
  <c r="K25" i="14" s="1"/>
  <c r="I12" i="14"/>
  <c r="R12" i="14" l="1"/>
  <c r="AC35" i="2"/>
  <c r="AC40" i="2"/>
  <c r="AB9" i="14"/>
  <c r="AB10" i="14" s="1"/>
  <c r="T12" i="14"/>
  <c r="T17" i="14" s="1"/>
  <c r="V9" i="14"/>
  <c r="W10" i="14"/>
  <c r="Q12" i="14"/>
  <c r="Q17" i="14" s="1"/>
  <c r="L25" i="14"/>
  <c r="O25" i="14"/>
  <c r="N25" i="14"/>
  <c r="M25" i="14"/>
  <c r="V244" i="2"/>
  <c r="S12" i="14"/>
  <c r="S17" i="14" s="1"/>
  <c r="I25" i="14"/>
  <c r="R245" i="2"/>
  <c r="T25" i="14" l="1"/>
  <c r="R25" i="14"/>
  <c r="AC9" i="14"/>
  <c r="AC244" i="2"/>
  <c r="V10" i="14"/>
  <c r="W12" i="14"/>
  <c r="W17" i="14" s="1"/>
  <c r="X12" i="14"/>
  <c r="X17" i="14" s="1"/>
  <c r="V245" i="2"/>
  <c r="S25" i="14"/>
  <c r="Q25" i="14"/>
  <c r="J12" i="14"/>
  <c r="G26" i="14"/>
  <c r="J246" i="2"/>
  <c r="K26" i="14" s="1"/>
  <c r="I246" i="2"/>
  <c r="G154" i="26" l="1"/>
  <c r="X25" i="14"/>
  <c r="AC245" i="2"/>
  <c r="V12" i="14"/>
  <c r="AC10" i="14"/>
  <c r="W25" i="14"/>
  <c r="L26" i="14"/>
  <c r="O26" i="14"/>
  <c r="N26" i="14"/>
  <c r="M26" i="14"/>
  <c r="J25" i="14"/>
  <c r="R246" i="2"/>
  <c r="I26" i="14"/>
  <c r="R26" i="14" l="1"/>
  <c r="AB25" i="14"/>
  <c r="T26" i="14"/>
  <c r="V25" i="14"/>
  <c r="V246" i="2"/>
  <c r="S26" i="14"/>
  <c r="Q26" i="14"/>
  <c r="I247" i="2"/>
  <c r="J247" i="2"/>
  <c r="K27" i="14" s="1"/>
  <c r="G27" i="14"/>
  <c r="AC25" i="14" l="1"/>
  <c r="X26" i="14"/>
  <c r="AC246" i="2"/>
  <c r="W26" i="14"/>
  <c r="L27" i="14"/>
  <c r="N27" i="14"/>
  <c r="O27" i="14"/>
  <c r="M27" i="14"/>
  <c r="J26" i="14"/>
  <c r="R247" i="2"/>
  <c r="R27" i="14" s="1"/>
  <c r="I27" i="14"/>
  <c r="AB26" i="14" l="1"/>
  <c r="T27" i="14"/>
  <c r="V26" i="14"/>
  <c r="Q27" i="14"/>
  <c r="V247" i="2"/>
  <c r="AC247" i="2" s="1"/>
  <c r="S27" i="14"/>
  <c r="I248" i="2"/>
  <c r="J248" i="2"/>
  <c r="K28" i="14" s="1"/>
  <c r="G28" i="14"/>
  <c r="AC26" i="14" l="1"/>
  <c r="X27" i="14"/>
  <c r="W27" i="14"/>
  <c r="J27" i="14"/>
  <c r="L28" i="14"/>
  <c r="M28" i="14"/>
  <c r="O28" i="14"/>
  <c r="N28" i="14"/>
  <c r="I28" i="14"/>
  <c r="J249" i="2"/>
  <c r="I249" i="2"/>
  <c r="R248" i="2"/>
  <c r="T28" i="14" l="1"/>
  <c r="R28" i="14"/>
  <c r="G163" i="26"/>
  <c r="AB27" i="14"/>
  <c r="V27" i="14"/>
  <c r="V248" i="2"/>
  <c r="S28" i="14"/>
  <c r="Q28" i="14"/>
  <c r="J250" i="2"/>
  <c r="K19" i="14" s="1"/>
  <c r="G19" i="14"/>
  <c r="I250" i="2"/>
  <c r="R249" i="2"/>
  <c r="R33" i="14" s="1"/>
  <c r="V33" i="14" l="1"/>
  <c r="AC33" i="14" s="1"/>
  <c r="AC27" i="14"/>
  <c r="X28" i="14"/>
  <c r="AC248" i="2"/>
  <c r="V249" i="2"/>
  <c r="AC249" i="2" s="1"/>
  <c r="J28" i="14"/>
  <c r="W28" i="14"/>
  <c r="O19" i="14"/>
  <c r="M19" i="14"/>
  <c r="N19" i="14"/>
  <c r="L19" i="14"/>
  <c r="J251" i="2"/>
  <c r="K29" i="14" s="1"/>
  <c r="I251" i="2"/>
  <c r="G29" i="14"/>
  <c r="I19" i="14"/>
  <c r="R250" i="2"/>
  <c r="G166" i="26" l="1"/>
  <c r="G172" i="26"/>
  <c r="T19" i="14"/>
  <c r="R19" i="14"/>
  <c r="G164" i="26"/>
  <c r="AB28" i="14"/>
  <c r="V28" i="14"/>
  <c r="G156" i="26"/>
  <c r="L29" i="14"/>
  <c r="O29" i="14"/>
  <c r="N29" i="14"/>
  <c r="M29" i="14"/>
  <c r="V250" i="2"/>
  <c r="S19" i="14"/>
  <c r="Q19" i="14"/>
  <c r="R251" i="2"/>
  <c r="I29" i="14"/>
  <c r="T29" i="14" l="1"/>
  <c r="R29" i="14"/>
  <c r="J19" i="14"/>
  <c r="AC28" i="14"/>
  <c r="G167" i="26" s="1"/>
  <c r="X19" i="14"/>
  <c r="AC250" i="2"/>
  <c r="W19" i="14"/>
  <c r="Q29" i="14"/>
  <c r="V251" i="2"/>
  <c r="S29" i="14"/>
  <c r="J252" i="2"/>
  <c r="K20" i="14" s="1"/>
  <c r="K23" i="14" s="1"/>
  <c r="G20" i="14"/>
  <c r="I252" i="2"/>
  <c r="V19" i="14" l="1"/>
  <c r="AB19" i="14"/>
  <c r="X29" i="14"/>
  <c r="AC251" i="2"/>
  <c r="L20" i="14"/>
  <c r="L23" i="14" s="1"/>
  <c r="O20" i="14"/>
  <c r="O23" i="14" s="1"/>
  <c r="N20" i="14"/>
  <c r="N23" i="14" s="1"/>
  <c r="M20" i="14"/>
  <c r="M23" i="14" s="1"/>
  <c r="J29" i="14"/>
  <c r="R252" i="2"/>
  <c r="W29" i="14"/>
  <c r="I20" i="14"/>
  <c r="T20" i="14" l="1"/>
  <c r="T23" i="14" s="1"/>
  <c r="R20" i="14"/>
  <c r="AB29" i="14"/>
  <c r="AC19" i="14"/>
  <c r="V29" i="14"/>
  <c r="V252" i="2"/>
  <c r="S20" i="14"/>
  <c r="S23" i="14" s="1"/>
  <c r="Q20" i="14"/>
  <c r="Q23" i="14" s="1"/>
  <c r="I253" i="2"/>
  <c r="J253" i="2"/>
  <c r="G160" i="26" l="1"/>
  <c r="AC29" i="14"/>
  <c r="G168" i="26" s="1"/>
  <c r="X20" i="14"/>
  <c r="X23" i="14" s="1"/>
  <c r="AC252" i="2"/>
  <c r="W20" i="14"/>
  <c r="W23" i="14" s="1"/>
  <c r="J20" i="14"/>
  <c r="R23" i="14" s="1"/>
  <c r="R253" i="2"/>
  <c r="R14" i="14" s="1"/>
  <c r="I254" i="2"/>
  <c r="J254" i="2"/>
  <c r="K30" i="14" s="1"/>
  <c r="G30" i="14"/>
  <c r="X10" i="23" l="1"/>
  <c r="AB20" i="14"/>
  <c r="AB23" i="14" s="1"/>
  <c r="L30" i="14"/>
  <c r="N30" i="14"/>
  <c r="M30" i="14"/>
  <c r="O30" i="14"/>
  <c r="V20" i="14"/>
  <c r="V23" i="14" s="1"/>
  <c r="V253" i="2"/>
  <c r="AC253" i="2" s="1"/>
  <c r="J14" i="14"/>
  <c r="R17" i="14" s="1"/>
  <c r="R254" i="2"/>
  <c r="I30" i="14"/>
  <c r="T30" i="14" l="1"/>
  <c r="R30" i="14"/>
  <c r="AC20" i="14"/>
  <c r="V14" i="14"/>
  <c r="AC14" i="14" s="1"/>
  <c r="V254" i="2"/>
  <c r="S30" i="14"/>
  <c r="Q30" i="14"/>
  <c r="J30" i="14" s="1"/>
  <c r="AC23" i="14" l="1"/>
  <c r="G157" i="26"/>
  <c r="G161" i="26"/>
  <c r="V17" i="14"/>
  <c r="X30" i="14"/>
  <c r="AC254" i="2"/>
  <c r="V30" i="14"/>
  <c r="W30" i="14"/>
  <c r="AB30" i="14" l="1"/>
  <c r="AC30" i="14" s="1"/>
  <c r="G169" i="26" s="1"/>
  <c r="G31" i="14"/>
  <c r="I255" i="2"/>
  <c r="J255" i="2"/>
  <c r="K31" i="14" s="1"/>
  <c r="K56" i="14" s="1"/>
  <c r="K58" i="14" l="1"/>
  <c r="L31" i="14"/>
  <c r="L56" i="14" s="1"/>
  <c r="M31" i="14"/>
  <c r="M56" i="14" s="1"/>
  <c r="N31" i="14"/>
  <c r="N56" i="14" s="1"/>
  <c r="O31" i="14"/>
  <c r="O56" i="14" s="1"/>
  <c r="R255" i="2"/>
  <c r="R282" i="2" s="1"/>
  <c r="I31" i="14"/>
  <c r="O58" i="14" l="1"/>
  <c r="G10" i="23" s="1"/>
  <c r="M58" i="14"/>
  <c r="E10" i="23" s="1"/>
  <c r="L58" i="14"/>
  <c r="D10" i="23" s="1"/>
  <c r="N58" i="14"/>
  <c r="F10" i="23" s="1"/>
  <c r="R31" i="14"/>
  <c r="R56" i="14" s="1"/>
  <c r="T31" i="14"/>
  <c r="T56" i="14" s="1"/>
  <c r="S31" i="14"/>
  <c r="S56" i="14" s="1"/>
  <c r="Q31" i="14"/>
  <c r="Q56" i="14" s="1"/>
  <c r="V255" i="2"/>
  <c r="V282" i="2" s="1"/>
  <c r="S58" i="14" l="1"/>
  <c r="K10" i="23" s="1"/>
  <c r="T58" i="14"/>
  <c r="L10" i="23" s="1"/>
  <c r="Q58" i="14"/>
  <c r="AC255" i="2"/>
  <c r="AC282" i="2" s="1"/>
  <c r="I10" i="23"/>
  <c r="X31" i="14"/>
  <c r="X56" i="14" s="1"/>
  <c r="J31" i="14"/>
  <c r="R58" i="14" s="1"/>
  <c r="W31" i="14"/>
  <c r="W56" i="14" s="1"/>
  <c r="X58" i="14" l="1"/>
  <c r="P10" i="23" s="1"/>
  <c r="W58" i="14"/>
  <c r="AB31" i="14"/>
  <c r="AB56" i="14" s="1"/>
  <c r="J10" i="23"/>
  <c r="N10" i="23" s="1"/>
  <c r="V31" i="14"/>
  <c r="V56" i="14" s="1"/>
  <c r="V58" i="14" l="1"/>
  <c r="AC31" i="14"/>
  <c r="AC56" i="14" s="1"/>
  <c r="O10" i="23"/>
  <c r="J284" i="2"/>
  <c r="K107" i="16" s="1"/>
  <c r="G107" i="16"/>
  <c r="I284" i="2"/>
  <c r="G170" i="26" l="1"/>
  <c r="G165" i="26"/>
  <c r="L107" i="16"/>
  <c r="M107" i="16"/>
  <c r="O107" i="16"/>
  <c r="N107" i="16"/>
  <c r="R284" i="2"/>
  <c r="I107" i="16"/>
  <c r="R107" i="16" l="1"/>
  <c r="S107" i="16"/>
  <c r="T107" i="16"/>
  <c r="Q107" i="16"/>
  <c r="V284" i="2"/>
  <c r="I285" i="2"/>
  <c r="J285" i="2"/>
  <c r="K120" i="16" s="1"/>
  <c r="G120" i="16"/>
  <c r="G56" i="18"/>
  <c r="R285" i="2" l="1"/>
  <c r="AC284" i="2"/>
  <c r="L120" i="16"/>
  <c r="N120" i="16"/>
  <c r="M120" i="16"/>
  <c r="O120" i="16"/>
  <c r="J107" i="16"/>
  <c r="I56" i="18"/>
  <c r="K56" i="18"/>
  <c r="K57" i="18" s="1"/>
  <c r="I120" i="16"/>
  <c r="R120" i="16" l="1"/>
  <c r="AB107" i="16"/>
  <c r="V107" i="16"/>
  <c r="O56" i="18"/>
  <c r="O57" i="18" s="1"/>
  <c r="N56" i="18"/>
  <c r="N57" i="18" s="1"/>
  <c r="L56" i="18"/>
  <c r="L57" i="18" s="1"/>
  <c r="M56" i="18"/>
  <c r="M57" i="18" s="1"/>
  <c r="S120" i="16"/>
  <c r="T120" i="16"/>
  <c r="Q120" i="16"/>
  <c r="V285" i="2"/>
  <c r="T56" i="18"/>
  <c r="T57" i="18" s="1"/>
  <c r="G121" i="16"/>
  <c r="J286" i="2"/>
  <c r="K121" i="16" s="1"/>
  <c r="I286" i="2"/>
  <c r="AC107" i="16" l="1"/>
  <c r="G89" i="26" s="1"/>
  <c r="AC285" i="2"/>
  <c r="S56" i="18"/>
  <c r="S57" i="18" s="1"/>
  <c r="J120" i="16"/>
  <c r="L121" i="16"/>
  <c r="O121" i="16"/>
  <c r="M121" i="16"/>
  <c r="N121" i="16"/>
  <c r="Q56" i="18"/>
  <c r="R286" i="2"/>
  <c r="J287" i="2"/>
  <c r="K122" i="16" s="1"/>
  <c r="G122" i="16"/>
  <c r="I287" i="2"/>
  <c r="I121" i="16"/>
  <c r="I162" i="2"/>
  <c r="J162" i="2"/>
  <c r="G88" i="26" l="1"/>
  <c r="J56" i="18"/>
  <c r="Q57" i="18"/>
  <c r="R121" i="16"/>
  <c r="T121" i="16"/>
  <c r="G37" i="26"/>
  <c r="AB120" i="16"/>
  <c r="V120" i="16"/>
  <c r="M122" i="16"/>
  <c r="L122" i="16"/>
  <c r="N122" i="16"/>
  <c r="O122" i="16"/>
  <c r="Q121" i="16"/>
  <c r="V286" i="2"/>
  <c r="S121" i="16"/>
  <c r="V56" i="18"/>
  <c r="V57" i="18" s="1"/>
  <c r="R287" i="2"/>
  <c r="I122" i="16"/>
  <c r="R162" i="2"/>
  <c r="R118" i="16" s="1"/>
  <c r="V118" i="16" l="1"/>
  <c r="T122" i="16"/>
  <c r="R122" i="16"/>
  <c r="AC286" i="2"/>
  <c r="AC120" i="16"/>
  <c r="AB56" i="18"/>
  <c r="V287" i="2"/>
  <c r="S122" i="16"/>
  <c r="J121" i="16"/>
  <c r="Q122" i="16"/>
  <c r="J122" i="16" s="1"/>
  <c r="V162" i="2"/>
  <c r="I288" i="2"/>
  <c r="J288" i="2"/>
  <c r="K123" i="16" s="1"/>
  <c r="G123" i="16"/>
  <c r="G73" i="26" l="1"/>
  <c r="AC56" i="18"/>
  <c r="G45" i="17" s="1"/>
  <c r="AB57" i="18"/>
  <c r="AC118" i="16"/>
  <c r="G39" i="26"/>
  <c r="G38" i="26"/>
  <c r="G40" i="17"/>
  <c r="AB121" i="16"/>
  <c r="V121" i="16"/>
  <c r="AC162" i="2"/>
  <c r="AC287" i="2"/>
  <c r="L123" i="16"/>
  <c r="N123" i="16"/>
  <c r="M123" i="16"/>
  <c r="O123" i="16"/>
  <c r="V122" i="16"/>
  <c r="G124" i="16"/>
  <c r="I289" i="2"/>
  <c r="J289" i="2"/>
  <c r="K124" i="16" s="1"/>
  <c r="I123" i="16"/>
  <c r="R288" i="2"/>
  <c r="G100" i="26" l="1"/>
  <c r="G98" i="26"/>
  <c r="AC57" i="18"/>
  <c r="G43" i="17"/>
  <c r="T123" i="16"/>
  <c r="R123" i="16"/>
  <c r="AC121" i="16"/>
  <c r="G101" i="26" s="1"/>
  <c r="AB122" i="16"/>
  <c r="AC122" i="16" s="1"/>
  <c r="V288" i="2"/>
  <c r="S123" i="16"/>
  <c r="L124" i="16"/>
  <c r="N124" i="16"/>
  <c r="M124" i="16"/>
  <c r="O124" i="16"/>
  <c r="Q123" i="16"/>
  <c r="J123" i="16" s="1"/>
  <c r="J290" i="2"/>
  <c r="K125" i="16" s="1"/>
  <c r="I290" i="2"/>
  <c r="G125" i="16"/>
  <c r="R289" i="2"/>
  <c r="I124" i="16"/>
  <c r="I166" i="2"/>
  <c r="J166" i="2"/>
  <c r="K61" i="18" s="1"/>
  <c r="K85" i="18" s="1"/>
  <c r="G74" i="26" l="1"/>
  <c r="G102" i="26"/>
  <c r="T124" i="16"/>
  <c r="R124" i="16"/>
  <c r="G41" i="26"/>
  <c r="G40" i="26"/>
  <c r="AC288" i="2"/>
  <c r="L125" i="16"/>
  <c r="O125" i="16"/>
  <c r="N125" i="16"/>
  <c r="M125" i="16"/>
  <c r="M61" i="18"/>
  <c r="N61" i="18"/>
  <c r="L61" i="18"/>
  <c r="O61" i="18"/>
  <c r="Q124" i="16"/>
  <c r="J124" i="16" s="1"/>
  <c r="V289" i="2"/>
  <c r="S124" i="16"/>
  <c r="R290" i="2"/>
  <c r="R125" i="16" s="1"/>
  <c r="V123" i="16"/>
  <c r="R166" i="2"/>
  <c r="I125" i="16"/>
  <c r="J291" i="2"/>
  <c r="K126" i="16" s="1"/>
  <c r="I291" i="2"/>
  <c r="G126" i="16"/>
  <c r="R61" i="18" l="1"/>
  <c r="R101" i="16"/>
  <c r="G42" i="26"/>
  <c r="AB123" i="16"/>
  <c r="AC123" i="16" s="1"/>
  <c r="G103" i="26" s="1"/>
  <c r="AC289" i="2"/>
  <c r="T61" i="18"/>
  <c r="T85" i="18" s="1"/>
  <c r="L8" i="23" s="1"/>
  <c r="S125" i="16"/>
  <c r="T125" i="16"/>
  <c r="V124" i="16"/>
  <c r="L126" i="16"/>
  <c r="O126" i="16"/>
  <c r="M126" i="16"/>
  <c r="N126" i="16"/>
  <c r="Q125" i="16"/>
  <c r="J125" i="16" s="1"/>
  <c r="S61" i="18"/>
  <c r="S85" i="18" s="1"/>
  <c r="K8" i="23" s="1"/>
  <c r="Q61" i="18"/>
  <c r="V166" i="2"/>
  <c r="V290" i="2"/>
  <c r="AC290" i="2" s="1"/>
  <c r="R291" i="2"/>
  <c r="G127" i="16"/>
  <c r="I292" i="2"/>
  <c r="J292" i="2"/>
  <c r="K127" i="16" s="1"/>
  <c r="I126" i="16"/>
  <c r="G75" i="26" l="1"/>
  <c r="G104" i="26"/>
  <c r="V101" i="16"/>
  <c r="R105" i="16"/>
  <c r="G41" i="17"/>
  <c r="T126" i="16"/>
  <c r="R126" i="16"/>
  <c r="G43" i="26"/>
  <c r="AB124" i="16"/>
  <c r="AC124" i="16" s="1"/>
  <c r="AC166" i="2"/>
  <c r="V125" i="16"/>
  <c r="V291" i="2"/>
  <c r="S126" i="16"/>
  <c r="O127" i="16"/>
  <c r="N127" i="16"/>
  <c r="L127" i="16"/>
  <c r="M127" i="16"/>
  <c r="Q126" i="16"/>
  <c r="J126" i="16" s="1"/>
  <c r="R292" i="2"/>
  <c r="I127" i="16"/>
  <c r="AC101" i="16" l="1"/>
  <c r="AC105" i="16" s="1"/>
  <c r="V105" i="16"/>
  <c r="T127" i="16"/>
  <c r="R127" i="16"/>
  <c r="G44" i="26"/>
  <c r="AB61" i="18"/>
  <c r="AB125" i="16"/>
  <c r="AC125" i="16" s="1"/>
  <c r="G105" i="26" s="1"/>
  <c r="AC291" i="2"/>
  <c r="V61" i="18"/>
  <c r="V292" i="2"/>
  <c r="S127" i="16"/>
  <c r="Q127" i="16"/>
  <c r="J127" i="16" s="1"/>
  <c r="V126" i="16"/>
  <c r="G45" i="26" l="1"/>
  <c r="AB126" i="16"/>
  <c r="AC126" i="16" s="1"/>
  <c r="G106" i="26" s="1"/>
  <c r="AC61" i="18"/>
  <c r="AC292" i="2"/>
  <c r="V127" i="16"/>
  <c r="J293" i="2"/>
  <c r="K128" i="16" s="1"/>
  <c r="I293" i="2"/>
  <c r="G128" i="16"/>
  <c r="G76" i="26" l="1"/>
  <c r="G107" i="26"/>
  <c r="G46" i="26"/>
  <c r="AB127" i="16"/>
  <c r="AC127" i="16" s="1"/>
  <c r="G42" i="17"/>
  <c r="L128" i="16"/>
  <c r="O128" i="16"/>
  <c r="N128" i="16"/>
  <c r="M128" i="16"/>
  <c r="R293" i="2"/>
  <c r="I128" i="16"/>
  <c r="G129" i="16"/>
  <c r="I294" i="2"/>
  <c r="J294" i="2"/>
  <c r="K129" i="16" s="1"/>
  <c r="G77" i="26" l="1"/>
  <c r="T128" i="16"/>
  <c r="R128" i="16"/>
  <c r="L129" i="16"/>
  <c r="O129" i="16"/>
  <c r="M129" i="16"/>
  <c r="N129" i="16"/>
  <c r="V293" i="2"/>
  <c r="S128" i="16"/>
  <c r="Q128" i="16"/>
  <c r="J128" i="16" s="1"/>
  <c r="R294" i="2"/>
  <c r="I129" i="16"/>
  <c r="T129" i="16" l="1"/>
  <c r="R129" i="16"/>
  <c r="G47" i="26"/>
  <c r="AC293" i="2"/>
  <c r="V128" i="16"/>
  <c r="V294" i="2"/>
  <c r="S129" i="16"/>
  <c r="Q129" i="16"/>
  <c r="J129" i="16" s="1"/>
  <c r="AB128" i="16" l="1"/>
  <c r="AC128" i="16" s="1"/>
  <c r="G108" i="26" s="1"/>
  <c r="AC294" i="2"/>
  <c r="V129" i="16"/>
  <c r="I295" i="2"/>
  <c r="J295" i="2"/>
  <c r="K130" i="16" s="1"/>
  <c r="G130" i="16"/>
  <c r="G78" i="26" l="1"/>
  <c r="G109" i="26"/>
  <c r="G48" i="26"/>
  <c r="AB129" i="16"/>
  <c r="AC129" i="16" s="1"/>
  <c r="M130" i="16"/>
  <c r="N130" i="16"/>
  <c r="O130" i="16"/>
  <c r="L130" i="16"/>
  <c r="I130" i="16"/>
  <c r="R295" i="2"/>
  <c r="T130" i="16" l="1"/>
  <c r="R130" i="16"/>
  <c r="G49" i="26"/>
  <c r="G79" i="26"/>
  <c r="V295" i="2"/>
  <c r="S130" i="16"/>
  <c r="Q130" i="16"/>
  <c r="J130" i="16" s="1"/>
  <c r="G50" i="26" l="1"/>
  <c r="G51" i="26"/>
  <c r="AC295" i="2"/>
  <c r="V130" i="16"/>
  <c r="AB130" i="16" l="1"/>
  <c r="AC130" i="16" s="1"/>
  <c r="G110" i="26" s="1"/>
  <c r="I296" i="2"/>
  <c r="J296" i="2"/>
  <c r="K131" i="16" s="1"/>
  <c r="G131" i="16"/>
  <c r="G80" i="26" l="1"/>
  <c r="G52" i="26"/>
  <c r="G53" i="26"/>
  <c r="M131" i="16"/>
  <c r="N131" i="16"/>
  <c r="O131" i="16"/>
  <c r="L131" i="16"/>
  <c r="G132" i="16"/>
  <c r="J297" i="2"/>
  <c r="K132" i="16" s="1"/>
  <c r="I297" i="2"/>
  <c r="R296" i="2"/>
  <c r="R131" i="16" s="1"/>
  <c r="I131" i="16"/>
  <c r="R297" i="2" l="1"/>
  <c r="R132" i="16"/>
  <c r="S131" i="16"/>
  <c r="T131" i="16"/>
  <c r="Q131" i="16"/>
  <c r="J131" i="16" s="1"/>
  <c r="L132" i="16"/>
  <c r="N132" i="16"/>
  <c r="O132" i="16"/>
  <c r="M132" i="16"/>
  <c r="V296" i="2"/>
  <c r="AC296" i="2" s="1"/>
  <c r="T132" i="16"/>
  <c r="J298" i="2"/>
  <c r="I298" i="2"/>
  <c r="I132" i="16"/>
  <c r="V131" i="16" l="1"/>
  <c r="Q132" i="16"/>
  <c r="J132" i="16" s="1"/>
  <c r="V297" i="2"/>
  <c r="S132" i="16"/>
  <c r="R298" i="2"/>
  <c r="R174" i="16" s="1"/>
  <c r="I299" i="2"/>
  <c r="G133" i="16"/>
  <c r="J299" i="2"/>
  <c r="K133" i="16" s="1"/>
  <c r="V174" i="16" l="1"/>
  <c r="R178" i="16"/>
  <c r="G54" i="26"/>
  <c r="AB131" i="16"/>
  <c r="AC131" i="16" s="1"/>
  <c r="G111" i="26" s="1"/>
  <c r="AC297" i="2"/>
  <c r="V132" i="16"/>
  <c r="V298" i="2"/>
  <c r="O133" i="16"/>
  <c r="L133" i="16"/>
  <c r="N133" i="16"/>
  <c r="M133" i="16"/>
  <c r="I133" i="16"/>
  <c r="R299" i="2"/>
  <c r="R133" i="16" s="1"/>
  <c r="I300" i="2"/>
  <c r="G134" i="16"/>
  <c r="J300" i="2"/>
  <c r="K134" i="16" s="1"/>
  <c r="G81" i="26" l="1"/>
  <c r="AC174" i="16"/>
  <c r="V178" i="16"/>
  <c r="G55" i="26"/>
  <c r="AB132" i="16"/>
  <c r="AC132" i="16" s="1"/>
  <c r="G112" i="26" s="1"/>
  <c r="AC298" i="2"/>
  <c r="S133" i="16"/>
  <c r="T133" i="16"/>
  <c r="Q133" i="16"/>
  <c r="J133" i="16" s="1"/>
  <c r="L134" i="16"/>
  <c r="N134" i="16"/>
  <c r="M134" i="16"/>
  <c r="O134" i="16"/>
  <c r="V299" i="2"/>
  <c r="AC299" i="2" s="1"/>
  <c r="R300" i="2"/>
  <c r="R134" i="16" s="1"/>
  <c r="I134" i="16"/>
  <c r="G148" i="26" l="1"/>
  <c r="G150" i="26"/>
  <c r="G99" i="26"/>
  <c r="AC178" i="16"/>
  <c r="G56" i="26"/>
  <c r="S134" i="16"/>
  <c r="T134" i="16"/>
  <c r="V133" i="16"/>
  <c r="Q134" i="16"/>
  <c r="J134" i="16" s="1"/>
  <c r="V300" i="2"/>
  <c r="AC300" i="2" s="1"/>
  <c r="AE385" i="2" s="1"/>
  <c r="G57" i="26" l="1"/>
  <c r="AB133" i="16"/>
  <c r="AC133" i="16" s="1"/>
  <c r="V134" i="16"/>
  <c r="I301" i="2"/>
  <c r="J301" i="2"/>
  <c r="K135" i="16" s="1"/>
  <c r="G135" i="16"/>
  <c r="G113" i="26" l="1"/>
  <c r="G66" i="26"/>
  <c r="G82" i="26"/>
  <c r="G58" i="26"/>
  <c r="AB134" i="16"/>
  <c r="AC134" i="16" s="1"/>
  <c r="L135" i="16"/>
  <c r="M135" i="16"/>
  <c r="N135" i="16"/>
  <c r="O135" i="16"/>
  <c r="R301" i="2"/>
  <c r="I302" i="2"/>
  <c r="J302" i="2"/>
  <c r="K136" i="16" s="1"/>
  <c r="G136" i="16"/>
  <c r="I135" i="16"/>
  <c r="G67" i="26" l="1"/>
  <c r="T135" i="16"/>
  <c r="R135" i="16"/>
  <c r="G59" i="26"/>
  <c r="G60" i="26"/>
  <c r="N136" i="16"/>
  <c r="O136" i="16"/>
  <c r="L136" i="16"/>
  <c r="M136" i="16"/>
  <c r="V301" i="2"/>
  <c r="S135" i="16"/>
  <c r="Q135" i="16"/>
  <c r="J135" i="16" s="1"/>
  <c r="I136" i="16"/>
  <c r="R302" i="2"/>
  <c r="T136" i="16" l="1"/>
  <c r="R136" i="16"/>
  <c r="AC301" i="2"/>
  <c r="V135" i="16"/>
  <c r="V302" i="2"/>
  <c r="S136" i="16"/>
  <c r="Q136" i="16"/>
  <c r="J136" i="16" s="1"/>
  <c r="J303" i="2"/>
  <c r="K137" i="16" s="1"/>
  <c r="G137" i="16"/>
  <c r="I303" i="2"/>
  <c r="AB135" i="16" l="1"/>
  <c r="AC135" i="16" s="1"/>
  <c r="AC302" i="2"/>
  <c r="V136" i="16"/>
  <c r="L137" i="16"/>
  <c r="M137" i="16"/>
  <c r="O137" i="16"/>
  <c r="N137" i="16"/>
  <c r="R303" i="2"/>
  <c r="R137" i="16" s="1"/>
  <c r="I137" i="16"/>
  <c r="J304" i="2"/>
  <c r="K138" i="16" s="1"/>
  <c r="G138" i="16"/>
  <c r="I304" i="2"/>
  <c r="G114" i="26" l="1"/>
  <c r="G68" i="26"/>
  <c r="G83" i="26"/>
  <c r="G61" i="26"/>
  <c r="AB136" i="16"/>
  <c r="AC136" i="16" s="1"/>
  <c r="G115" i="26" s="1"/>
  <c r="S137" i="16"/>
  <c r="T137" i="16"/>
  <c r="O138" i="16"/>
  <c r="M138" i="16"/>
  <c r="L138" i="16"/>
  <c r="N138" i="16"/>
  <c r="Q137" i="16"/>
  <c r="J137" i="16" s="1"/>
  <c r="R304" i="2"/>
  <c r="V303" i="2"/>
  <c r="AC303" i="2" s="1"/>
  <c r="I138" i="16"/>
  <c r="G69" i="26" l="1"/>
  <c r="T138" i="16"/>
  <c r="R138" i="16"/>
  <c r="G62" i="26"/>
  <c r="V137" i="16"/>
  <c r="V304" i="2"/>
  <c r="S138" i="16"/>
  <c r="Q138" i="16"/>
  <c r="J138" i="16" s="1"/>
  <c r="I305" i="2"/>
  <c r="G139" i="16"/>
  <c r="J305" i="2"/>
  <c r="K139" i="16" s="1"/>
  <c r="AB137" i="16" l="1"/>
  <c r="AC137" i="16" s="1"/>
  <c r="AC304" i="2"/>
  <c r="O139" i="16"/>
  <c r="N139" i="16"/>
  <c r="L139" i="16"/>
  <c r="M139" i="16"/>
  <c r="V138" i="16"/>
  <c r="I139" i="16"/>
  <c r="G140" i="16"/>
  <c r="I306" i="2"/>
  <c r="J306" i="2"/>
  <c r="K140" i="16" s="1"/>
  <c r="R305" i="2"/>
  <c r="G116" i="26" l="1"/>
  <c r="T139" i="16"/>
  <c r="R139" i="16"/>
  <c r="G84" i="26"/>
  <c r="G63" i="26"/>
  <c r="AB138" i="16"/>
  <c r="AC138" i="16" s="1"/>
  <c r="V305" i="2"/>
  <c r="S139" i="16"/>
  <c r="L140" i="16"/>
  <c r="N140" i="16"/>
  <c r="O140" i="16"/>
  <c r="M140" i="16"/>
  <c r="Q139" i="16"/>
  <c r="J139" i="16" s="1"/>
  <c r="R306" i="2"/>
  <c r="R140" i="16" s="1"/>
  <c r="I140" i="16"/>
  <c r="J307" i="2"/>
  <c r="K141" i="16" s="1"/>
  <c r="K165" i="16" s="1"/>
  <c r="G141" i="16"/>
  <c r="I307" i="2"/>
  <c r="G117" i="26" l="1"/>
  <c r="K180" i="16"/>
  <c r="G85" i="26"/>
  <c r="AC305" i="2"/>
  <c r="V139" i="16"/>
  <c r="S140" i="16"/>
  <c r="T140" i="16"/>
  <c r="L141" i="16"/>
  <c r="L165" i="16" s="1"/>
  <c r="L180" i="16" s="1"/>
  <c r="M141" i="16"/>
  <c r="M165" i="16" s="1"/>
  <c r="N141" i="16"/>
  <c r="N165" i="16" s="1"/>
  <c r="O141" i="16"/>
  <c r="O165" i="16" s="1"/>
  <c r="Q140" i="16"/>
  <c r="J140" i="16" s="1"/>
  <c r="R307" i="2"/>
  <c r="R331" i="2" s="1"/>
  <c r="I141" i="16"/>
  <c r="V306" i="2"/>
  <c r="R141" i="16" l="1"/>
  <c r="R165" i="16" s="1"/>
  <c r="O180" i="16"/>
  <c r="N180" i="16"/>
  <c r="M180" i="16"/>
  <c r="AC306" i="2"/>
  <c r="AB139" i="16"/>
  <c r="AC139" i="16" s="1"/>
  <c r="G118" i="26" s="1"/>
  <c r="T141" i="16"/>
  <c r="T165" i="16" s="1"/>
  <c r="V140" i="16"/>
  <c r="Q141" i="16"/>
  <c r="Q165" i="16" s="1"/>
  <c r="S141" i="16"/>
  <c r="S165" i="16" s="1"/>
  <c r="V307" i="2"/>
  <c r="V331" i="2" s="1"/>
  <c r="G86" i="26" l="1"/>
  <c r="E9" i="23"/>
  <c r="F9" i="23"/>
  <c r="G9" i="23"/>
  <c r="D9" i="23"/>
  <c r="G70" i="26"/>
  <c r="G65" i="26"/>
  <c r="S180" i="16"/>
  <c r="T180" i="16"/>
  <c r="Q180" i="16"/>
  <c r="R164" i="2"/>
  <c r="R173" i="2"/>
  <c r="AB140" i="16"/>
  <c r="AC140" i="16" s="1"/>
  <c r="G119" i="26" s="1"/>
  <c r="AC307" i="2"/>
  <c r="AC331" i="2" s="1"/>
  <c r="J141" i="16"/>
  <c r="I194" i="2"/>
  <c r="J194" i="2"/>
  <c r="G71" i="26" l="1"/>
  <c r="G121" i="26"/>
  <c r="I9" i="23"/>
  <c r="L9" i="23"/>
  <c r="K9" i="23"/>
  <c r="R180" i="16"/>
  <c r="G64" i="26"/>
  <c r="V164" i="2"/>
  <c r="V173" i="2"/>
  <c r="O9" i="23"/>
  <c r="AB141" i="16"/>
  <c r="AB165" i="16" s="1"/>
  <c r="P9" i="23"/>
  <c r="V141" i="16"/>
  <c r="V165" i="16" s="1"/>
  <c r="R194" i="2"/>
  <c r="R84" i="20" s="1"/>
  <c r="V84" i="20" l="1"/>
  <c r="R87" i="20"/>
  <c r="R89" i="20" s="1"/>
  <c r="J11" i="23" s="1"/>
  <c r="N11" i="23" s="1"/>
  <c r="U11" i="23" s="1"/>
  <c r="R202" i="2"/>
  <c r="AB180" i="16"/>
  <c r="V180" i="16"/>
  <c r="AC164" i="2"/>
  <c r="AC173" i="2"/>
  <c r="J9" i="23"/>
  <c r="N9" i="23" s="1"/>
  <c r="T9" i="23"/>
  <c r="AC141" i="16"/>
  <c r="G120" i="26" s="1"/>
  <c r="V194" i="2"/>
  <c r="V202" i="2" s="1"/>
  <c r="R9" i="19"/>
  <c r="R11" i="19" s="1"/>
  <c r="AC165" i="16" l="1"/>
  <c r="G123" i="26"/>
  <c r="AC84" i="20"/>
  <c r="G68" i="38" s="1"/>
  <c r="V87" i="20"/>
  <c r="V89" i="20" s="1"/>
  <c r="G122" i="26"/>
  <c r="G72" i="26"/>
  <c r="AC180" i="16"/>
  <c r="R231" i="2"/>
  <c r="U9" i="23"/>
  <c r="AC194" i="2"/>
  <c r="AC202" i="2" s="1"/>
  <c r="V9" i="19"/>
  <c r="V11" i="19" s="1"/>
  <c r="J7" i="26" l="1"/>
  <c r="AC87" i="20"/>
  <c r="AC89" i="20" s="1"/>
  <c r="G65" i="38"/>
  <c r="G64" i="38"/>
  <c r="AE182" i="16"/>
  <c r="AE183" i="16"/>
  <c r="L13" i="23"/>
  <c r="R241" i="2"/>
  <c r="AC231" i="2"/>
  <c r="AD13" i="19"/>
  <c r="AD15" i="19" s="1"/>
  <c r="AB9" i="19"/>
  <c r="AB11" i="19" s="1"/>
  <c r="W9" i="23" l="1"/>
  <c r="AE92" i="20"/>
  <c r="AE91" i="20"/>
  <c r="W11" i="23" s="1"/>
  <c r="G42" i="38"/>
  <c r="G69" i="38" s="1"/>
  <c r="AE184" i="16"/>
  <c r="X9" i="23"/>
  <c r="AC241" i="2"/>
  <c r="V231" i="2"/>
  <c r="K13" i="23"/>
  <c r="O13" i="23"/>
  <c r="K16" i="37" l="1"/>
  <c r="X11" i="23"/>
  <c r="AE93" i="20"/>
  <c r="Y9" i="23"/>
  <c r="P13" i="23"/>
  <c r="V241" i="2"/>
  <c r="K18" i="37"/>
  <c r="Y11" i="23" l="1"/>
  <c r="G162" i="26" l="1"/>
  <c r="Z12" i="14" l="1"/>
  <c r="Z17" i="14" l="1"/>
  <c r="Z58" i="14" s="1"/>
  <c r="AB12" i="14"/>
  <c r="AC12" i="14" s="1"/>
  <c r="AE60" i="14" s="1"/>
  <c r="G155" i="26" l="1"/>
  <c r="AB17" i="14"/>
  <c r="AB58" i="14" s="1"/>
  <c r="AC17" i="14"/>
  <c r="AC58" i="14" s="1"/>
  <c r="R10" i="23"/>
  <c r="R13" i="23" s="1"/>
  <c r="G218" i="26" l="1"/>
  <c r="J153" i="26"/>
  <c r="W10" i="23"/>
  <c r="T10" i="23"/>
  <c r="J219" i="26" l="1"/>
  <c r="Y10" i="23"/>
  <c r="U10" i="23"/>
  <c r="K16" i="25"/>
  <c r="AE62" i="14"/>
  <c r="K18" i="25"/>
  <c r="Y12" i="23" l="1"/>
  <c r="N35" i="2"/>
  <c r="Y40" i="2"/>
  <c r="K23" i="2"/>
  <c r="K382" i="2" s="1"/>
  <c r="N8" i="2"/>
  <c r="N23" i="2" s="1"/>
  <c r="M8" i="2"/>
  <c r="M23" i="2" s="1"/>
  <c r="M382" i="2" s="1"/>
  <c r="L8" i="18"/>
  <c r="L15" i="18" s="1"/>
  <c r="L85" i="18" s="1"/>
  <c r="D8" i="23" s="1"/>
  <c r="O8" i="2"/>
  <c r="O23" i="2" s="1"/>
  <c r="O382" i="2" s="1"/>
  <c r="L8" i="2"/>
  <c r="L23" i="2" s="1"/>
  <c r="L382" i="2" s="1"/>
  <c r="N382" i="2" l="1"/>
  <c r="Q8" i="2"/>
  <c r="Q23" i="2" s="1"/>
  <c r="Q382" i="2" s="1"/>
  <c r="O8" i="18"/>
  <c r="O15" i="18" s="1"/>
  <c r="O85" i="18" s="1"/>
  <c r="G8" i="23" s="1"/>
  <c r="N8" i="18"/>
  <c r="N15" i="18" s="1"/>
  <c r="N85" i="18" s="1"/>
  <c r="F8" i="23" s="1"/>
  <c r="M8" i="18"/>
  <c r="M15" i="18" s="1"/>
  <c r="M85" i="18" s="1"/>
  <c r="E8" i="23" s="1"/>
  <c r="Y8" i="2"/>
  <c r="I8" i="23" l="1"/>
  <c r="J8" i="2"/>
  <c r="R8" i="2" s="1"/>
  <c r="Q8" i="18"/>
  <c r="Q15" i="18" s="1"/>
  <c r="Q85" i="18" s="1"/>
  <c r="Y8" i="18"/>
  <c r="Y15" i="18" s="1"/>
  <c r="Y85" i="18" s="1"/>
  <c r="Q8" i="23" s="1"/>
  <c r="T8" i="23" s="1"/>
  <c r="Y23" i="2"/>
  <c r="Y382" i="2" s="1"/>
  <c r="AB8" i="2"/>
  <c r="AB23" i="2" s="1"/>
  <c r="AB382" i="2" s="1"/>
  <c r="I13" i="23" l="1"/>
  <c r="R23" i="2"/>
  <c r="R8" i="18"/>
  <c r="R15" i="18" s="1"/>
  <c r="R85" i="18" s="1"/>
  <c r="J8" i="23" s="1"/>
  <c r="N8" i="23" s="1"/>
  <c r="U8" i="23" s="1"/>
  <c r="G13" i="23"/>
  <c r="F13" i="23"/>
  <c r="E13" i="23"/>
  <c r="D13" i="23"/>
  <c r="V8" i="2"/>
  <c r="V23" i="2" s="1"/>
  <c r="V382" i="2" s="1"/>
  <c r="J8" i="18"/>
  <c r="AB8" i="18"/>
  <c r="AB15" i="18" s="1"/>
  <c r="AB85" i="18" s="1"/>
  <c r="R382" i="2" l="1"/>
  <c r="V8" i="18"/>
  <c r="V15" i="18" s="1"/>
  <c r="V85" i="18" s="1"/>
  <c r="AC8" i="2"/>
  <c r="AE384" i="2" s="1"/>
  <c r="AC8" i="18" l="1"/>
  <c r="AC15" i="18" s="1"/>
  <c r="AC85" i="18" s="1"/>
  <c r="Q13" i="23"/>
  <c r="T13" i="23"/>
  <c r="AC23" i="2"/>
  <c r="AC382" i="2" s="1"/>
  <c r="G5" i="17" l="1"/>
  <c r="G65" i="17" s="1"/>
  <c r="AE87" i="18"/>
  <c r="W8" i="23" s="1"/>
  <c r="J13" i="23"/>
  <c r="U16" i="23" l="1"/>
  <c r="U18" i="23" s="1"/>
  <c r="N13" i="23"/>
  <c r="U13" i="23"/>
  <c r="K16" i="5"/>
  <c r="K17" i="5"/>
  <c r="AE88" i="18" l="1"/>
  <c r="X8" i="23" s="1"/>
  <c r="AE386" i="2"/>
  <c r="W13" i="23"/>
  <c r="Y8" i="23" l="1"/>
  <c r="U19" i="23"/>
  <c r="U20" i="23" s="1"/>
  <c r="AE89" i="18"/>
  <c r="X13" i="23" l="1"/>
  <c r="Y13" i="2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AA3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Total Loan 25K
deduction monthly tk. 5,000/-
Adjustment from July to November-24</t>
        </r>
      </text>
    </comment>
    <comment ref="AA3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Total Loan 24K
deduction monthly tk. 2,000/-
Adjustment from Aug-24 to July-25</t>
        </r>
      </text>
    </comment>
    <comment ref="AA18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Personal Loan Adjustment tk 5,000/- per Month
From-June (Total-1.00 Lac)</t>
        </r>
      </text>
    </comment>
    <comment ref="K255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Increment tk, 1400/-Efective from 01-10-2024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Y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Lunch Bill tk.75 for May-24 need adjusted with August-24 Salary</t>
        </r>
      </text>
    </comment>
  </commentList>
</comments>
</file>

<file path=xl/sharedStrings.xml><?xml version="1.0" encoding="utf-8"?>
<sst xmlns="http://schemas.openxmlformats.org/spreadsheetml/2006/main" count="6488" uniqueCount="1905">
  <si>
    <t>SQ Trading &amp; Engineering - FMD</t>
  </si>
  <si>
    <t>Suvastu Suraiya Trade Centre, 57, Kemal Ataturk Avenue, Banani, Dhaka-1213</t>
  </si>
  <si>
    <t>Amount in BDT</t>
  </si>
  <si>
    <t>Sl. No.</t>
  </si>
  <si>
    <t>Name of Section</t>
  </si>
  <si>
    <t>Total no. of Employee</t>
  </si>
  <si>
    <t>Earnings</t>
  </si>
  <si>
    <t>Gross Salary</t>
  </si>
  <si>
    <t>Net Earnings</t>
  </si>
  <si>
    <t>Adjustment</t>
  </si>
  <si>
    <t>Deduction</t>
  </si>
  <si>
    <t>Total Deduction</t>
  </si>
  <si>
    <t>Net Payable Salary</t>
  </si>
  <si>
    <t xml:space="preserve">Basic </t>
  </si>
  <si>
    <t xml:space="preserve">House </t>
  </si>
  <si>
    <t xml:space="preserve">T/A </t>
  </si>
  <si>
    <t xml:space="preserve">M/A </t>
  </si>
  <si>
    <t>Spl All</t>
  </si>
  <si>
    <t>Accommodation Allowance</t>
  </si>
  <si>
    <t>Food Allowance</t>
  </si>
  <si>
    <t>Performance Adjustment</t>
  </si>
  <si>
    <t>Income Tax</t>
  </si>
  <si>
    <t>Provident Fund</t>
  </si>
  <si>
    <t>Bank</t>
  </si>
  <si>
    <t>:</t>
  </si>
  <si>
    <t>Cash</t>
  </si>
  <si>
    <t>Seeds Department :</t>
  </si>
  <si>
    <t>HR &amp; Admin Department :</t>
  </si>
  <si>
    <t xml:space="preserve"> Total Salary &amp; Remuneration:</t>
  </si>
  <si>
    <t>** Mode of Payment :</t>
  </si>
  <si>
    <t xml:space="preserve"> ID</t>
  </si>
  <si>
    <t>Name of the Employee</t>
  </si>
  <si>
    <t>Designation</t>
  </si>
  <si>
    <t>Department / Area</t>
  </si>
  <si>
    <t>Date of Joining</t>
  </si>
  <si>
    <t>Total Working Day</t>
  </si>
  <si>
    <t>Absent &amp; leave without payment</t>
  </si>
  <si>
    <t>Total days for payment</t>
  </si>
  <si>
    <t>Per day Salary</t>
  </si>
  <si>
    <t>Earning</t>
  </si>
  <si>
    <t xml:space="preserve">Net Earnings </t>
  </si>
  <si>
    <t>Net Pay</t>
  </si>
  <si>
    <t>Remark</t>
  </si>
  <si>
    <t>DBBL A/C No</t>
  </si>
  <si>
    <t>Other / adjustment</t>
  </si>
  <si>
    <t>SQFMD-0513</t>
  </si>
  <si>
    <t>Md. Mahfuzur Rahman Sazal</t>
  </si>
  <si>
    <t>A&amp;F</t>
  </si>
  <si>
    <t>103.103.1267239</t>
  </si>
  <si>
    <t>SQFMD-0617</t>
  </si>
  <si>
    <t>Md. Abdullah Al Mamun</t>
  </si>
  <si>
    <t>108.101.0402810</t>
  </si>
  <si>
    <t>SQFMD-0601</t>
  </si>
  <si>
    <t>Md. Saiful Islam</t>
  </si>
  <si>
    <t>318.103.0001930</t>
  </si>
  <si>
    <t>SQFMD-0501</t>
  </si>
  <si>
    <t>Md. Rabiul Islam</t>
  </si>
  <si>
    <t>103.103.1252596</t>
  </si>
  <si>
    <t>SQFMD-0632</t>
  </si>
  <si>
    <t>Md. Ashikur Rahman</t>
  </si>
  <si>
    <t>103.103.1300696</t>
  </si>
  <si>
    <t>SQFMD-0572</t>
  </si>
  <si>
    <t>Nurun Nahar Nipa</t>
  </si>
  <si>
    <t>103.103.1293208</t>
  </si>
  <si>
    <t>SQFMD-0646</t>
  </si>
  <si>
    <t>Asiful Islam</t>
  </si>
  <si>
    <t>101.103.1113437</t>
  </si>
  <si>
    <t>.</t>
  </si>
  <si>
    <t>SQFMD-0515</t>
  </si>
  <si>
    <t>Md. Kawsaruzzaman</t>
  </si>
  <si>
    <t>HR &amp; Admin</t>
  </si>
  <si>
    <t>103.103.1267244</t>
  </si>
  <si>
    <t>SQFMD-0596</t>
  </si>
  <si>
    <t>Md. Sohel Rana</t>
  </si>
  <si>
    <t>Admin</t>
  </si>
  <si>
    <t>SQFMD-0564</t>
  </si>
  <si>
    <t>Md. Mehedi Hasan</t>
  </si>
  <si>
    <t>103.103.1298342</t>
  </si>
  <si>
    <t>SQFMD-0606</t>
  </si>
  <si>
    <t>Md. Sah Alam</t>
  </si>
  <si>
    <t>318.103.0001903</t>
  </si>
  <si>
    <t>SQFMD-0674</t>
  </si>
  <si>
    <t>Md. Saheb Ali</t>
  </si>
  <si>
    <t>172.158.0055537</t>
  </si>
  <si>
    <t>SQFMD-0565</t>
  </si>
  <si>
    <t>Md. Robiul Alom Rahin</t>
  </si>
  <si>
    <t>103.103.1293190</t>
  </si>
  <si>
    <t>SQFMD-0686</t>
  </si>
  <si>
    <t>Md. Akter Hossen</t>
  </si>
  <si>
    <t>Supply Chain Management :</t>
  </si>
  <si>
    <t>SQFMD-0518</t>
  </si>
  <si>
    <t>Md. Tohidur Rahman</t>
  </si>
  <si>
    <t>SCM</t>
  </si>
  <si>
    <t>116.103.0831555</t>
  </si>
  <si>
    <t>Service Department :</t>
  </si>
  <si>
    <t>SQFMD-0511</t>
  </si>
  <si>
    <t>Shafiq Miah</t>
  </si>
  <si>
    <t>Technical</t>
  </si>
  <si>
    <t>103.103.1252484</t>
  </si>
  <si>
    <t>SQFMD-0523</t>
  </si>
  <si>
    <t>Md. Rahis Uddin</t>
  </si>
  <si>
    <t>SQFMD-0527</t>
  </si>
  <si>
    <t>Md. Nefaur Rahman</t>
  </si>
  <si>
    <t>263.158.0019418</t>
  </si>
  <si>
    <t>SQFMD-0530</t>
  </si>
  <si>
    <t>Lutfor Rahman</t>
  </si>
  <si>
    <t>226.158.0013030</t>
  </si>
  <si>
    <t>SQFMD-0532</t>
  </si>
  <si>
    <t>Arman Hossen</t>
  </si>
  <si>
    <t>165.105.0014139</t>
  </si>
  <si>
    <t>SQFMD-0533</t>
  </si>
  <si>
    <t xml:space="preserve">Md. Iqbal </t>
  </si>
  <si>
    <t>226.158.0010637</t>
  </si>
  <si>
    <t>SQFMD-0562</t>
  </si>
  <si>
    <t>Md. Kaiser Ferdous</t>
  </si>
  <si>
    <t>268.151.0036556</t>
  </si>
  <si>
    <t>SQFMD-0563</t>
  </si>
  <si>
    <t>Md. Raza</t>
  </si>
  <si>
    <t>SQFMD-0578</t>
  </si>
  <si>
    <t>Sohidullah</t>
  </si>
  <si>
    <t>SQFMD-0581</t>
  </si>
  <si>
    <t>Md. Bellal Hossain</t>
  </si>
  <si>
    <t>127.158.0056084</t>
  </si>
  <si>
    <t>SQFMD-0584</t>
  </si>
  <si>
    <t>Esmail Hossain</t>
  </si>
  <si>
    <t>226.158.0014342</t>
  </si>
  <si>
    <t>SQFMD-0586</t>
  </si>
  <si>
    <t>Md. Emran Hosen</t>
  </si>
  <si>
    <t>204.103.0058985</t>
  </si>
  <si>
    <t>SQFMD-0588</t>
  </si>
  <si>
    <t>Md. Yeasin Ali</t>
  </si>
  <si>
    <t>226.158.0016006</t>
  </si>
  <si>
    <t>SQFMD-0591</t>
  </si>
  <si>
    <t>Aklas Ahmed</t>
  </si>
  <si>
    <t>289.103.0001794</t>
  </si>
  <si>
    <t>SQFMD-0599</t>
  </si>
  <si>
    <t>Md. Jahidul Islam</t>
  </si>
  <si>
    <t>Transport</t>
  </si>
  <si>
    <t>318.103.0001945</t>
  </si>
  <si>
    <t>SQFMD-0600</t>
  </si>
  <si>
    <t>Md. Hafizur Rahman</t>
  </si>
  <si>
    <t>227.157.0038826</t>
  </si>
  <si>
    <t>SQFMD-0602</t>
  </si>
  <si>
    <t>Md. Rakib Uddin</t>
  </si>
  <si>
    <t>289.103.0001908</t>
  </si>
  <si>
    <t>SQFMD-0604</t>
  </si>
  <si>
    <t>Md. Sabbir Hossen Ripon</t>
  </si>
  <si>
    <t>120.151.0515500</t>
  </si>
  <si>
    <t>SQFMD-0608</t>
  </si>
  <si>
    <t>Mohammad Ali Mollah</t>
  </si>
  <si>
    <t>188.151.0114541</t>
  </si>
  <si>
    <t>SQFMD-0613</t>
  </si>
  <si>
    <t>Abdul Wadud</t>
  </si>
  <si>
    <t>226.158.0014358</t>
  </si>
  <si>
    <t>SQFMD-0614</t>
  </si>
  <si>
    <t>Shamim Akter Akash</t>
  </si>
  <si>
    <t>127.158.0064093</t>
  </si>
  <si>
    <t>SQFMD-0628</t>
  </si>
  <si>
    <t>Md. Shaon Ali</t>
  </si>
  <si>
    <t>289.103.0001890</t>
  </si>
  <si>
    <t>SQFMD-0629</t>
  </si>
  <si>
    <t>Md. Insan Ali</t>
  </si>
  <si>
    <t>268.158.0019245</t>
  </si>
  <si>
    <t>SQFMD-0634</t>
  </si>
  <si>
    <t>Md. Shopon Islam</t>
  </si>
  <si>
    <t>227.103.0178379</t>
  </si>
  <si>
    <t>SQFMD-0635</t>
  </si>
  <si>
    <t>Md. Nur Amin Arafat</t>
  </si>
  <si>
    <t>172.158.0042493</t>
  </si>
  <si>
    <t>SQFMD-0654</t>
  </si>
  <si>
    <t>Md. Ziaur Rahman Vulu</t>
  </si>
  <si>
    <t>SQFMD-0655</t>
  </si>
  <si>
    <t>Hashim Uddin</t>
  </si>
  <si>
    <t>156.158.0056318</t>
  </si>
  <si>
    <t>SQFMD-0657</t>
  </si>
  <si>
    <t>Sadeck Ahmed</t>
  </si>
  <si>
    <t>156.158.0056302</t>
  </si>
  <si>
    <t>SQFMD-0525</t>
  </si>
  <si>
    <t>Md. Abdullah</t>
  </si>
  <si>
    <t>SQFMD-0659</t>
  </si>
  <si>
    <t>Md. Aminul Haque</t>
  </si>
  <si>
    <t>SQFMD-0675</t>
  </si>
  <si>
    <t>Md. Shariful Islam</t>
  </si>
  <si>
    <t>172.158.0055521</t>
  </si>
  <si>
    <t>SQFMD-0658</t>
  </si>
  <si>
    <t>Md. Repon Miah</t>
  </si>
  <si>
    <t>156.158.0060380</t>
  </si>
  <si>
    <t>SQFMD-0688</t>
  </si>
  <si>
    <t>Md. Mamun Islam</t>
  </si>
  <si>
    <t>289.103.0002293</t>
  </si>
  <si>
    <t>SQFMD-0694</t>
  </si>
  <si>
    <t>Md. Saju Ahmed</t>
  </si>
  <si>
    <t>282.105.0036019</t>
  </si>
  <si>
    <t>SQFMD-0695</t>
  </si>
  <si>
    <t>Md. Rafiqul Islam</t>
  </si>
  <si>
    <t>SQFMD-0696</t>
  </si>
  <si>
    <t>Md. Mahfuzur Rahman</t>
  </si>
  <si>
    <t>SQFMD-0698</t>
  </si>
  <si>
    <t>Md. Razib Rony</t>
  </si>
  <si>
    <t>172.151.0086481</t>
  </si>
  <si>
    <t>Sales &amp; marketing Department :</t>
  </si>
  <si>
    <t>SQFMD-0516</t>
  </si>
  <si>
    <t>Ashfaq Ahmed</t>
  </si>
  <si>
    <t>S&amp;M</t>
  </si>
  <si>
    <t>116.103.0831560</t>
  </si>
  <si>
    <t>SQFMD-0529</t>
  </si>
  <si>
    <t>Imran Hossain</t>
  </si>
  <si>
    <t>208.103.0093940</t>
  </si>
  <si>
    <t>SQFMD-0537</t>
  </si>
  <si>
    <t>Md. Selim Reza</t>
  </si>
  <si>
    <t>318.103.0001919</t>
  </si>
  <si>
    <t>SQFMD-0538</t>
  </si>
  <si>
    <t>Sumon Babu</t>
  </si>
  <si>
    <t>SQFMD-0540</t>
  </si>
  <si>
    <t>Md. Shamsul Alam</t>
  </si>
  <si>
    <t>231.158.0033558</t>
  </si>
  <si>
    <t>SQFMD-0541</t>
  </si>
  <si>
    <t>Syed Azgar Ali</t>
  </si>
  <si>
    <t>127.158.0050790</t>
  </si>
  <si>
    <t>SQFMD-0543</t>
  </si>
  <si>
    <t>Md. Mizanur Rahman</t>
  </si>
  <si>
    <t>SQFMD-0544</t>
  </si>
  <si>
    <t>Md. Nazmul Haque</t>
  </si>
  <si>
    <t>125.158.0032322</t>
  </si>
  <si>
    <t>SQFMD-0547</t>
  </si>
  <si>
    <t>Md. Shakibul Hasan Sharif</t>
  </si>
  <si>
    <t>200.151.0114322</t>
  </si>
  <si>
    <t>SQFMD-0548</t>
  </si>
  <si>
    <t>Md. Sabbir Ahmed</t>
  </si>
  <si>
    <t>SQFMD-0549</t>
  </si>
  <si>
    <t>Md. Manjurul Hoque</t>
  </si>
  <si>
    <t>263.158.0009563</t>
  </si>
  <si>
    <t>SQFMD-0551</t>
  </si>
  <si>
    <t>Shahadat Hossain</t>
  </si>
  <si>
    <t>162.158.0036284</t>
  </si>
  <si>
    <t>SQFMD-0552</t>
  </si>
  <si>
    <t>Md. Shafiul Kamal</t>
  </si>
  <si>
    <t>251.105.0021107</t>
  </si>
  <si>
    <t>SQFMD-0553</t>
  </si>
  <si>
    <t>Mamun Chowdhury</t>
  </si>
  <si>
    <t>302.158.0011118</t>
  </si>
  <si>
    <t>SQFMD-0503</t>
  </si>
  <si>
    <t>Md. A Wadud Mollah</t>
  </si>
  <si>
    <t>103.103.1252463</t>
  </si>
  <si>
    <t>SQFMD-0506</t>
  </si>
  <si>
    <t>Minhaz Al Hoque</t>
  </si>
  <si>
    <t>103.103.1252512</t>
  </si>
  <si>
    <t>SQFMD-0508</t>
  </si>
  <si>
    <t>Md. Ibrahim Miah</t>
  </si>
  <si>
    <t>135.151.0113365</t>
  </si>
  <si>
    <t>SQFMD-0510</t>
  </si>
  <si>
    <t>Md. Azharul Islam</t>
  </si>
  <si>
    <t>241.158.0013093</t>
  </si>
  <si>
    <t>SQFMD-0512</t>
  </si>
  <si>
    <t>Nazmun Sadman Sakib</t>
  </si>
  <si>
    <t>Operations</t>
  </si>
  <si>
    <t>103.103.1267253</t>
  </si>
  <si>
    <t>SQFMD-0445</t>
  </si>
  <si>
    <t>Md. Sabbir Rahman</t>
  </si>
  <si>
    <t>Int. Business</t>
  </si>
  <si>
    <t>141.105.0029903</t>
  </si>
  <si>
    <t>SQFMD-0504</t>
  </si>
  <si>
    <t>Md. Sultan Mahmud</t>
  </si>
  <si>
    <t>103.103.1252565</t>
  </si>
  <si>
    <t>Operation</t>
  </si>
  <si>
    <t>SQFMD-0620</t>
  </si>
  <si>
    <t>Farhin Tajrin</t>
  </si>
  <si>
    <t>103.103.1298363</t>
  </si>
  <si>
    <t>SQFMD-0637</t>
  </si>
  <si>
    <t>Md. Monir Hossain</t>
  </si>
  <si>
    <t>SQFMD-0668</t>
  </si>
  <si>
    <t>Md. Shafiqul Islam</t>
  </si>
  <si>
    <t>141.158.0028130</t>
  </si>
  <si>
    <t>SQFMD-0669</t>
  </si>
  <si>
    <t>Md. Ali Reza Manik</t>
  </si>
  <si>
    <t>209.151.0118305</t>
  </si>
  <si>
    <t>SQFMD-0683</t>
  </si>
  <si>
    <t>Md. Moshiur Rahman</t>
  </si>
  <si>
    <t>162.158.0069228</t>
  </si>
  <si>
    <t>SQFMD-0687</t>
  </si>
  <si>
    <t>Md. Tanvir Islam</t>
  </si>
  <si>
    <t>204.157.0005987</t>
  </si>
  <si>
    <t>SQFMD-0689</t>
  </si>
  <si>
    <t>Md. Tamal Sarkar</t>
  </si>
  <si>
    <t>SQFMD-0691</t>
  </si>
  <si>
    <t>Jikrul Islam</t>
  </si>
  <si>
    <t>318.103.0003224</t>
  </si>
  <si>
    <t>SQFMD-0692</t>
  </si>
  <si>
    <t>Mizanur Rahman Mizan</t>
  </si>
  <si>
    <t>318.103.0003219</t>
  </si>
  <si>
    <t>SQFMD-0539</t>
  </si>
  <si>
    <t>Md. Hamidur Rahman</t>
  </si>
  <si>
    <t>CRRM</t>
  </si>
  <si>
    <t>SQFMD-0597</t>
  </si>
  <si>
    <t>Md. Jahangir Kabir</t>
  </si>
  <si>
    <t>103.103.1289224</t>
  </si>
  <si>
    <t>SQFMD-0615</t>
  </si>
  <si>
    <t>Md. Atoar Rahman</t>
  </si>
  <si>
    <t>172.158.0037187</t>
  </si>
  <si>
    <t>SQFMD-0616</t>
  </si>
  <si>
    <t>Md. Abdullah Al Atick</t>
  </si>
  <si>
    <t>289.158.0012310</t>
  </si>
  <si>
    <t>SQFMD-0684</t>
  </si>
  <si>
    <t>Md. Sadak Hossain Palash</t>
  </si>
  <si>
    <t>147.103.0471469</t>
  </si>
  <si>
    <t>Transport Department :</t>
  </si>
  <si>
    <t>SQFMD-0566</t>
  </si>
  <si>
    <t>Mst. Ramzan Ali</t>
  </si>
  <si>
    <t>SQFMD-0567</t>
  </si>
  <si>
    <t>Md. Shaazahan Ali</t>
  </si>
  <si>
    <t>SQFMD-0640</t>
  </si>
  <si>
    <t>Md. Shohag</t>
  </si>
  <si>
    <t>Tranport</t>
  </si>
  <si>
    <t>103.103.1311756</t>
  </si>
  <si>
    <t>SQFMD-0641</t>
  </si>
  <si>
    <t>Md. Mahmudul Hasan</t>
  </si>
  <si>
    <t>282.103.0032386</t>
  </si>
  <si>
    <t>SQFMD-0666</t>
  </si>
  <si>
    <t>Md. Akabbor Ali</t>
  </si>
  <si>
    <t>Store &amp; Logistics Support Department :</t>
  </si>
  <si>
    <t>SQFMD-0573</t>
  </si>
  <si>
    <t>Sujal Chandra Mahanta</t>
  </si>
  <si>
    <t>190.158.0008541</t>
  </si>
  <si>
    <t>SQFMD-0574</t>
  </si>
  <si>
    <t>Md. Sabbir Hossen</t>
  </si>
  <si>
    <t>163.158.0032550</t>
  </si>
  <si>
    <t>SQFMD-0576</t>
  </si>
  <si>
    <t>Md. Jamal Hossain</t>
  </si>
  <si>
    <t>311.158.0003466</t>
  </si>
  <si>
    <t>SQFMD-0577</t>
  </si>
  <si>
    <t>Md. Rashedul Islam</t>
  </si>
  <si>
    <t>127.158.0054868</t>
  </si>
  <si>
    <t>SQFMD-0535</t>
  </si>
  <si>
    <t>Md Obaydur Rahman</t>
  </si>
  <si>
    <t>245.158.0004319</t>
  </si>
  <si>
    <t>SQFMD-0561</t>
  </si>
  <si>
    <t>Rajah Ch. Datta</t>
  </si>
  <si>
    <t>165.158.0013674</t>
  </si>
  <si>
    <t>SQFMD-0502</t>
  </si>
  <si>
    <t>Mohammed Shariful Alam</t>
  </si>
  <si>
    <t>103.103.1252528</t>
  </si>
  <si>
    <t>SQFMD-0624</t>
  </si>
  <si>
    <t>Md. Robiullah</t>
  </si>
  <si>
    <t>SQFMD-0626</t>
  </si>
  <si>
    <t>Samiul Hassan</t>
  </si>
  <si>
    <t>SQFMD-0636</t>
  </si>
  <si>
    <t>Mohammad Abul Bashar</t>
  </si>
  <si>
    <t>Store &amp; Logistics</t>
  </si>
  <si>
    <t>103.103.0765960</t>
  </si>
  <si>
    <t>SQFMD-0677</t>
  </si>
  <si>
    <t>Md. Abdus Salam Shek</t>
  </si>
  <si>
    <t>163.158.0056439</t>
  </si>
  <si>
    <t>SQFMD-0685</t>
  </si>
  <si>
    <t>Shahjaman</t>
  </si>
  <si>
    <t>SQFMD-0702</t>
  </si>
  <si>
    <t>Faysal Ahammed Munshi</t>
  </si>
  <si>
    <t>Store &amp; logistics</t>
  </si>
  <si>
    <t>Fertilizer Department :</t>
  </si>
  <si>
    <t>SQFMD-0570</t>
  </si>
  <si>
    <t>Md. Shiful Islam</t>
  </si>
  <si>
    <t>Fertilizer</t>
  </si>
  <si>
    <t>106.157.0009890</t>
  </si>
  <si>
    <t>SQFMD-0517</t>
  </si>
  <si>
    <t>Md. Mohidul Islam Chowdhury</t>
  </si>
  <si>
    <t xml:space="preserve"> Fertilizer</t>
  </si>
  <si>
    <t>116.103.0078787</t>
  </si>
  <si>
    <t>SQFMD-0631</t>
  </si>
  <si>
    <t>Md. Aktar Hossen</t>
  </si>
  <si>
    <t>233.158.0013172</t>
  </si>
  <si>
    <t>SQFMD-0638</t>
  </si>
  <si>
    <t>Md. Khasru Rikabder</t>
  </si>
  <si>
    <t>106.158.0008403</t>
  </si>
  <si>
    <t>SQFMD-0643</t>
  </si>
  <si>
    <t>Md. Shawkot Akbar Khan</t>
  </si>
  <si>
    <t>163.103.0175073</t>
  </si>
  <si>
    <t>SQFMD-0644</t>
  </si>
  <si>
    <t>Md. Junaidur Rahman</t>
  </si>
  <si>
    <t>SQFMD-0672</t>
  </si>
  <si>
    <t>Md. Nazim Uddin</t>
  </si>
  <si>
    <t>163.158.0054637</t>
  </si>
  <si>
    <t>Seeds</t>
  </si>
  <si>
    <t>Tractor Department :</t>
  </si>
  <si>
    <t>Location</t>
  </si>
  <si>
    <t>Accounts &amp; Finance Department :</t>
  </si>
  <si>
    <t>SQFMD-0681</t>
  </si>
  <si>
    <t>Md. Delwar Hossain</t>
  </si>
  <si>
    <t>GM(Finance)</t>
  </si>
  <si>
    <t>103.103.1329107</t>
  </si>
  <si>
    <t xml:space="preserve">SQ Trading &amp; Engineering Portion </t>
  </si>
  <si>
    <t>Imperial Resourcess</t>
  </si>
  <si>
    <t>Total :</t>
  </si>
  <si>
    <t>Date :</t>
  </si>
  <si>
    <t>The Manager</t>
  </si>
  <si>
    <t>Dutch Bangla Bank Limited</t>
  </si>
  <si>
    <t>Dhaka.</t>
  </si>
  <si>
    <t xml:space="preserve">Subject: </t>
  </si>
  <si>
    <t>Dear Sir,</t>
  </si>
  <si>
    <t xml:space="preserve">Your early action to this effect is highly anticipated. </t>
  </si>
  <si>
    <t xml:space="preserve">Thanking you in advance.                                                    </t>
  </si>
  <si>
    <t>Sincerely yours,</t>
  </si>
  <si>
    <t>Enclose: List of employees account.</t>
  </si>
  <si>
    <t>Employee ID</t>
  </si>
  <si>
    <t>Name</t>
  </si>
  <si>
    <t>Position</t>
  </si>
  <si>
    <t>Dept.</t>
  </si>
  <si>
    <t xml:space="preserve">Account Number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</si>
  <si>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</si>
  <si>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</si>
  <si>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</si>
  <si>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</si>
  <si>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</si>
  <si>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</si>
  <si>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</si>
  <si>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</si>
  <si>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</si>
  <si>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</si>
  <si>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</si>
  <si>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</si>
  <si>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</si>
  <si>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</si>
  <si>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</si>
  <si>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Transfer from Account No.</t>
  </si>
  <si>
    <t>116.110.0032360</t>
  </si>
  <si>
    <t>Manager</t>
  </si>
  <si>
    <t>Md Rabiul Islam</t>
  </si>
  <si>
    <t>Executive Accounts</t>
  </si>
  <si>
    <t>Finance &amp; Accounts</t>
  </si>
  <si>
    <t>Md Shariful Alam</t>
  </si>
  <si>
    <t>Md. A. Wadud Mollah</t>
  </si>
  <si>
    <t>AGM</t>
  </si>
  <si>
    <t>DGM</t>
  </si>
  <si>
    <t>Minhaz Al Haque</t>
  </si>
  <si>
    <t>Sr. Manager</t>
  </si>
  <si>
    <t>TSO</t>
  </si>
  <si>
    <t>Md. Shafiq Miah</t>
  </si>
  <si>
    <t>Mechanic</t>
  </si>
  <si>
    <t>Assistant Manager</t>
  </si>
  <si>
    <t>Consultant</t>
  </si>
  <si>
    <t>Senior Manager</t>
  </si>
  <si>
    <t>Jr. Mechanic</t>
  </si>
  <si>
    <t>Md. Rois Uddin</t>
  </si>
  <si>
    <t>Sr. Recovery Officer</t>
  </si>
  <si>
    <t>Md. Lutfar Rahman</t>
  </si>
  <si>
    <t>Md. Iqbal</t>
  </si>
  <si>
    <t>Jr.Mechanic</t>
  </si>
  <si>
    <t>STSO</t>
  </si>
  <si>
    <t>Md. Obaydur Rahaman</t>
  </si>
  <si>
    <t>Store Assistant</t>
  </si>
  <si>
    <t>Md. Salim Reza</t>
  </si>
  <si>
    <t>Assistant Territory Manager</t>
  </si>
  <si>
    <t>Syed Ali Azgar</t>
  </si>
  <si>
    <t>Sr. Territory Sales officer</t>
  </si>
  <si>
    <t>Territory Manager</t>
  </si>
  <si>
    <t>Territory Sales officer</t>
  </si>
  <si>
    <t>Sr. Terrtory Manager</t>
  </si>
  <si>
    <t>Md. Manjurul Haque</t>
  </si>
  <si>
    <t>Shafiul Kamal</t>
  </si>
  <si>
    <t>Assistant Regional Manager</t>
  </si>
  <si>
    <t>Territory Sales officer(Stemz)</t>
  </si>
  <si>
    <t>Rajha Ch. Datta</t>
  </si>
  <si>
    <t>Store Officer</t>
  </si>
  <si>
    <t>Service Coordinator</t>
  </si>
  <si>
    <t>Md. Raja Babu</t>
  </si>
  <si>
    <t>Office Assistant</t>
  </si>
  <si>
    <t>Md. Robiul Alam Rahin</t>
  </si>
  <si>
    <t>Md. Ramjan Ali</t>
  </si>
  <si>
    <t>Driver</t>
  </si>
  <si>
    <t>Md. Shahjahan Ali</t>
  </si>
  <si>
    <t>Executive (F&amp;A)</t>
  </si>
  <si>
    <t>F&amp;A</t>
  </si>
  <si>
    <t>Sr. Store Officer</t>
  </si>
  <si>
    <t>Md. Ismail Hossain</t>
  </si>
  <si>
    <t>Md. Imran Hosen</t>
  </si>
  <si>
    <t>Sr. Mechanic</t>
  </si>
  <si>
    <t>Sohel Rana</t>
  </si>
  <si>
    <t>Assistant General Manager</t>
  </si>
  <si>
    <t>Accountant</t>
  </si>
  <si>
    <t>Md. Sahalom</t>
  </si>
  <si>
    <t>Deputy Regional Manager</t>
  </si>
  <si>
    <t>Service Engineer</t>
  </si>
  <si>
    <t>Asst. Mechanic</t>
  </si>
  <si>
    <t>Store Worker</t>
  </si>
  <si>
    <t>Depot Manager</t>
  </si>
  <si>
    <t>Finance officer</t>
  </si>
  <si>
    <t>Sr. Executive</t>
  </si>
  <si>
    <t>Officer In Charge</t>
  </si>
  <si>
    <t>Md. Asiful Islam</t>
  </si>
  <si>
    <t>Territory Service Manager</t>
  </si>
  <si>
    <t>Asst. Manager</t>
  </si>
  <si>
    <t>Sr. Territory Manager</t>
  </si>
  <si>
    <t>Security Incharge</t>
  </si>
  <si>
    <t>RM</t>
  </si>
  <si>
    <t>ATSO</t>
  </si>
  <si>
    <t>DGM (CRRM)</t>
  </si>
  <si>
    <t>DRM</t>
  </si>
  <si>
    <t>Prepared By</t>
  </si>
  <si>
    <t>Checked By</t>
  </si>
  <si>
    <t>Approveb By</t>
  </si>
  <si>
    <t>Md. Saju Ahammad</t>
  </si>
  <si>
    <t>263.158.0023293</t>
  </si>
  <si>
    <t>Sl. No</t>
  </si>
  <si>
    <t>Employee ID No</t>
  </si>
  <si>
    <t>Employee Name</t>
  </si>
  <si>
    <t>Department</t>
  </si>
  <si>
    <t>Joining Date</t>
  </si>
  <si>
    <t>Working Day</t>
  </si>
  <si>
    <t>Absent</t>
  </si>
  <si>
    <t>Total Payable Days</t>
  </si>
  <si>
    <t>New Empl. Salary</t>
  </si>
  <si>
    <t>Remarks</t>
  </si>
  <si>
    <t>Sr. Regional Manager</t>
  </si>
  <si>
    <t>DRM (Sales &amp; Recovery)</t>
  </si>
  <si>
    <t>SQFMD-0621</t>
  </si>
  <si>
    <t>Md. Mannan Miah</t>
  </si>
  <si>
    <t>SQFMD-0704</t>
  </si>
  <si>
    <t>Md. Abdur Rouf</t>
  </si>
  <si>
    <t>Sr. Officer (Production)</t>
  </si>
  <si>
    <t>Seed</t>
  </si>
  <si>
    <t>SQFMD-0706</t>
  </si>
  <si>
    <t>Asik Ahmed</t>
  </si>
  <si>
    <t>SQFMD-0707</t>
  </si>
  <si>
    <t>Md. Sorowar Hossain</t>
  </si>
  <si>
    <t>Officer (Production)</t>
  </si>
  <si>
    <t>SQFMD-0709</t>
  </si>
  <si>
    <t>Golam Naser Zilany</t>
  </si>
  <si>
    <t>SQFMD-0713</t>
  </si>
  <si>
    <t>Shahadatul Islam</t>
  </si>
  <si>
    <t>SQFMD-0716</t>
  </si>
  <si>
    <t>Md. Gulzar Islam</t>
  </si>
  <si>
    <t xml:space="preserve"> Monthly Attendance Sheet </t>
  </si>
  <si>
    <t>204.103.0060831</t>
  </si>
  <si>
    <t>141.158.0031117</t>
  </si>
  <si>
    <t>194.158.0025183</t>
  </si>
  <si>
    <t>135.151.0419990</t>
  </si>
  <si>
    <t>Credit Recovery &amp; Risk Management :</t>
  </si>
  <si>
    <t>Int. sales (Tender)</t>
  </si>
  <si>
    <t xml:space="preserve">Motor bike Installment </t>
  </si>
  <si>
    <t>125.103.0080924</t>
  </si>
  <si>
    <t>125.103.0080896</t>
  </si>
  <si>
    <t>103.103.1326628</t>
  </si>
  <si>
    <t>Assistant Manager (R&amp;D)</t>
  </si>
  <si>
    <t>Territory Sales Officer (Stemz)</t>
  </si>
  <si>
    <t>Territory Sales Officer</t>
  </si>
  <si>
    <t>SQFMD-0717</t>
  </si>
  <si>
    <t>Israt Jahan</t>
  </si>
  <si>
    <t>Executive (S&amp;A)</t>
  </si>
  <si>
    <t>SQFMD-0718</t>
  </si>
  <si>
    <t>Md. Suhanur Rahman Suhag</t>
  </si>
  <si>
    <t>SQFMD-0719</t>
  </si>
  <si>
    <t>Shohel Rana</t>
  </si>
  <si>
    <t>SQFMD-0720</t>
  </si>
  <si>
    <t>Md. Shofiqul Islam</t>
  </si>
  <si>
    <t>Asst. Territory Manager</t>
  </si>
  <si>
    <t>SQFMD-0721</t>
  </si>
  <si>
    <t>Md. Maznur Rahman</t>
  </si>
  <si>
    <t>Regional Manager</t>
  </si>
  <si>
    <t>SQFMD-0722</t>
  </si>
  <si>
    <t>Dilip Kumar Barmon</t>
  </si>
  <si>
    <t>SQFMD-0724</t>
  </si>
  <si>
    <t>Md. Billal Hossain</t>
  </si>
  <si>
    <t>SQFMD-0726</t>
  </si>
  <si>
    <t>Md. Shoiyeb Hasan Sajal</t>
  </si>
  <si>
    <t>SQFMD-0728</t>
  </si>
  <si>
    <t>Al Farabie Mubashir</t>
  </si>
  <si>
    <t>Trainee Engineer</t>
  </si>
  <si>
    <t>SQFMD-0730</t>
  </si>
  <si>
    <t>Md. Arif</t>
  </si>
  <si>
    <t>103.103.1343115</t>
  </si>
  <si>
    <t>302.158.0031497</t>
  </si>
  <si>
    <t>163.158.0019170</t>
  </si>
  <si>
    <t>156.105.0305030</t>
  </si>
  <si>
    <t>219.151.0119185</t>
  </si>
  <si>
    <t>268.151.0086723</t>
  </si>
  <si>
    <t>103.103.1342095</t>
  </si>
  <si>
    <t xml:space="preserve">Total Office Opening Day </t>
  </si>
  <si>
    <t>SL</t>
  </si>
  <si>
    <t>EMP ID</t>
  </si>
  <si>
    <t>NAME</t>
  </si>
  <si>
    <t>DESIGNATION</t>
  </si>
  <si>
    <t>TOTAL QTY</t>
  </si>
  <si>
    <t>TOTAL AMT</t>
  </si>
  <si>
    <t>EMP - 50%</t>
  </si>
  <si>
    <t>OFC - 50%</t>
  </si>
  <si>
    <t>SIGNATURE</t>
  </si>
  <si>
    <t>TOTAL</t>
  </si>
  <si>
    <t>Lunch Bill</t>
  </si>
  <si>
    <r>
      <t>Less:</t>
    </r>
    <r>
      <rPr>
        <sz val="10"/>
        <rFont val="Arial"/>
        <family val="2"/>
      </rPr>
      <t xml:space="preserve"> Imperial Portion</t>
    </r>
  </si>
  <si>
    <t>Research &amp; Development Department :</t>
  </si>
  <si>
    <t>SQFMD-0734</t>
  </si>
  <si>
    <t>Md. Rashedul Islam Chowdhury</t>
  </si>
  <si>
    <t>SEED</t>
  </si>
  <si>
    <t>SQFMD-0729</t>
  </si>
  <si>
    <t>Sohid Ali</t>
  </si>
  <si>
    <t>SQFMD-0731</t>
  </si>
  <si>
    <t>Syed Zamiul Haque</t>
  </si>
  <si>
    <t>ATM</t>
  </si>
  <si>
    <t>190.103.0055668</t>
  </si>
  <si>
    <t>163.157.0014868</t>
  </si>
  <si>
    <t>REMARK</t>
  </si>
  <si>
    <t>162.158.0089635</t>
  </si>
  <si>
    <t>242.105.0067809</t>
  </si>
  <si>
    <t>204.103.0061204</t>
  </si>
  <si>
    <t>Production Department :</t>
  </si>
  <si>
    <t>219.158.0030624</t>
  </si>
  <si>
    <t>Deputy Manager</t>
  </si>
  <si>
    <t>COO</t>
  </si>
  <si>
    <t>SQFMD-0737</t>
  </si>
  <si>
    <t>Md. Nur Sayed</t>
  </si>
  <si>
    <t>SQFMD-0740</t>
  </si>
  <si>
    <t>Md. Hasanur Rahman</t>
  </si>
  <si>
    <t>SQFMD-0741</t>
  </si>
  <si>
    <t>Md. Raju Ahmed</t>
  </si>
  <si>
    <t>Techincal</t>
  </si>
  <si>
    <t>SQFMD-0742</t>
  </si>
  <si>
    <t>Md. Abdur Rahim</t>
  </si>
  <si>
    <t>SQFMD-0746</t>
  </si>
  <si>
    <t>Md. Kaiyum Babu</t>
  </si>
  <si>
    <t>SQFMD-0748</t>
  </si>
  <si>
    <t>Md. Niem Hosen</t>
  </si>
  <si>
    <t>SQFMD-0749</t>
  </si>
  <si>
    <t>Md Shahjahan Ali</t>
  </si>
  <si>
    <t>163.152.0003449</t>
  </si>
  <si>
    <t>172.107.0054435</t>
  </si>
  <si>
    <t>Arrear Salary</t>
  </si>
  <si>
    <t>262.158.0049028</t>
  </si>
  <si>
    <t>SQ Trading &amp; Engineering - Seed Unit</t>
  </si>
  <si>
    <t>SQFMD-0762</t>
  </si>
  <si>
    <t>SQFMD-0769</t>
  </si>
  <si>
    <t>Md Moshiur Rahman</t>
  </si>
  <si>
    <t>Accounts Officer</t>
  </si>
  <si>
    <t>Md. Yeasin Hossain Khan</t>
  </si>
  <si>
    <t>103.103.1353454</t>
  </si>
  <si>
    <t>103.103.1353468</t>
  </si>
  <si>
    <t>Animal Health Care Department :</t>
  </si>
  <si>
    <t>Commercial</t>
  </si>
  <si>
    <t>103.103.0580390</t>
  </si>
  <si>
    <t>Summary of Lunch Bill</t>
  </si>
  <si>
    <t>SQFMD-0750</t>
  </si>
  <si>
    <t>Md Balal Hossain</t>
  </si>
  <si>
    <t>SQFMD-0753</t>
  </si>
  <si>
    <t>SQFMD-0754</t>
  </si>
  <si>
    <t>SQFMD-0755</t>
  </si>
  <si>
    <t>Md Mustafa Kamal</t>
  </si>
  <si>
    <t>SQFMD-0756</t>
  </si>
  <si>
    <t>Md Soyeb Mamud</t>
  </si>
  <si>
    <t>SQFMD-0758</t>
  </si>
  <si>
    <t>Md Rahem Mia</t>
  </si>
  <si>
    <t>ARM</t>
  </si>
  <si>
    <t>SQFMD-0760</t>
  </si>
  <si>
    <t>B M Abul Hasnath</t>
  </si>
  <si>
    <t>SQFMD-0763</t>
  </si>
  <si>
    <t>Md. Kayum Hossain</t>
  </si>
  <si>
    <t>SQFMD-0531</t>
  </si>
  <si>
    <t>Md. Ali Hossain</t>
  </si>
  <si>
    <t>SQFMD-0764</t>
  </si>
  <si>
    <t>Md Mostafizur Rahman</t>
  </si>
  <si>
    <t>SQFMD-0765</t>
  </si>
  <si>
    <t>Uttom Devnath</t>
  </si>
  <si>
    <t>SQFMD-0766</t>
  </si>
  <si>
    <t>Md. Abdur Rahman Sagor</t>
  </si>
  <si>
    <t>SQFMD-0767</t>
  </si>
  <si>
    <t>Md. Azizul Hakim</t>
  </si>
  <si>
    <t>SQFMD-0768</t>
  </si>
  <si>
    <t>Md. Asaduzzaman</t>
  </si>
  <si>
    <t>Yeasin Hossain Khan</t>
  </si>
  <si>
    <t>SQFMD-0771</t>
  </si>
  <si>
    <t>Md. Saddam Hosen</t>
  </si>
  <si>
    <t>SQFMD-0772</t>
  </si>
  <si>
    <t>SQFMD-0773</t>
  </si>
  <si>
    <t>Md Masud Ahmmed</t>
  </si>
  <si>
    <t>281.158.0012158</t>
  </si>
  <si>
    <t>231.158.0086891</t>
  </si>
  <si>
    <t>162.158.0095660</t>
  </si>
  <si>
    <t>103.103.1353839</t>
  </si>
  <si>
    <t>283.158.0025980</t>
  </si>
  <si>
    <t>169.151.0074605</t>
  </si>
  <si>
    <t>175.158.0044155</t>
  </si>
  <si>
    <t>103.103.0874710</t>
  </si>
  <si>
    <t>172.103.0055416</t>
  </si>
  <si>
    <t>172.103.0055425</t>
  </si>
  <si>
    <t>172.103.0055404</t>
  </si>
  <si>
    <t>226.158.0010621</t>
  </si>
  <si>
    <t>127.157.0036217</t>
  </si>
  <si>
    <t>204.103.0061753</t>
  </si>
  <si>
    <t>263.158.0007366</t>
  </si>
  <si>
    <t>Uttam Devnath</t>
  </si>
  <si>
    <t>141.103.0406713</t>
  </si>
  <si>
    <t>163.103.0046815</t>
  </si>
  <si>
    <t>156.151.0066283</t>
  </si>
  <si>
    <t>172.107.0024413</t>
  </si>
  <si>
    <t>187.151.0041355</t>
  </si>
  <si>
    <t>220.101.0010720</t>
  </si>
  <si>
    <t>119.101.0125409</t>
  </si>
  <si>
    <t>156.105.0160835</t>
  </si>
  <si>
    <t>SQFMD-0774</t>
  </si>
  <si>
    <t>Md Mizanur Rahman</t>
  </si>
  <si>
    <t>SQFMD-0775</t>
  </si>
  <si>
    <t>Md Tahmedur Rahman</t>
  </si>
  <si>
    <t>SQFMD-0776</t>
  </si>
  <si>
    <t>Md Rubel Molla</t>
  </si>
  <si>
    <t>SQFMD-0777</t>
  </si>
  <si>
    <t>Md Azabul Hossen</t>
  </si>
  <si>
    <t>SQFMD-0780</t>
  </si>
  <si>
    <t>Md. Mizanur Rahman Milon</t>
  </si>
  <si>
    <t>Night Gurd</t>
  </si>
  <si>
    <t>R&amp;D</t>
  </si>
  <si>
    <t>125.159.0000529</t>
  </si>
  <si>
    <t>125.158.0097944</t>
  </si>
  <si>
    <t>103.103.1356825</t>
  </si>
  <si>
    <t>180.158.0056161</t>
  </si>
  <si>
    <t>162.158.0101443</t>
  </si>
  <si>
    <t>103.103.1357817</t>
  </si>
  <si>
    <t>289.103.0002403</t>
  </si>
  <si>
    <t>103.103.1355576</t>
  </si>
  <si>
    <t>250.105.0059406</t>
  </si>
  <si>
    <t>30</t>
  </si>
  <si>
    <t>Seeds (Factory)</t>
  </si>
  <si>
    <t>A&amp;F (Factory)</t>
  </si>
  <si>
    <t>R&amp;D (Seed)</t>
  </si>
  <si>
    <t>SQFMD-0783</t>
  </si>
  <si>
    <t>Nayem Iqbal</t>
  </si>
  <si>
    <t>171.158.0035517</t>
  </si>
  <si>
    <t>Manager(IB)</t>
  </si>
  <si>
    <t xml:space="preserve">Manager 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</si>
  <si>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</si>
  <si>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</si>
  <si>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</si>
  <si>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</si>
  <si>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</si>
  <si>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</si>
  <si>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</si>
  <si>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</si>
  <si>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</si>
  <si>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</si>
  <si>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</si>
  <si>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</si>
  <si>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</si>
  <si>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</si>
  <si>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</si>
  <si>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</si>
  <si>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</si>
  <si>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</si>
  <si>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</si>
  <si>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</si>
  <si>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</si>
  <si>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</si>
  <si>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</si>
  <si>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</si>
  <si>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</si>
  <si>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</si>
  <si>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</si>
  <si>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</si>
  <si>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</si>
  <si>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</si>
  <si>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</si>
  <si>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</si>
  <si>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</si>
  <si>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</si>
  <si>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</si>
  <si>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</si>
  <si>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</si>
  <si>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</si>
  <si>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</si>
  <si>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</si>
  <si>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</si>
  <si>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</si>
  <si>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</si>
  <si>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</si>
  <si>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</si>
  <si>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</si>
  <si>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</si>
  <si>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</si>
  <si>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</si>
  <si>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</si>
  <si>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</si>
  <si>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</si>
  <si>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</si>
  <si>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</si>
  <si>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</si>
  <si>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</si>
  <si>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</si>
  <si>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</si>
  <si>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</si>
  <si>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</si>
  <si>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</si>
  <si>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</si>
  <si>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</si>
  <si>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</si>
  <si>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</si>
  <si>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</si>
  <si>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</si>
  <si>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</si>
  <si>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</si>
  <si>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</si>
  <si>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</si>
  <si>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</si>
  <si>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</si>
  <si>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</si>
  <si>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</si>
  <si>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</si>
  <si>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</si>
  <si>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</si>
  <si>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</si>
  <si>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</si>
  <si>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</si>
  <si>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</si>
  <si>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</si>
  <si>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</si>
  <si>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</si>
  <si>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</si>
  <si>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</si>
  <si>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</si>
  <si>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</si>
  <si>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</si>
  <si>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</si>
  <si>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</si>
  <si>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</si>
  <si>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</si>
  <si>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</si>
  <si>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</si>
  <si>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</si>
  <si>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</si>
  <si>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</si>
  <si>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</si>
  <si>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</si>
  <si>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</si>
  <si>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</si>
  <si>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</si>
  <si>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</si>
  <si>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</si>
  <si>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</si>
  <si>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</si>
  <si>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</si>
  <si>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</si>
  <si>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</si>
  <si>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</si>
  <si>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Accounts &amp;  Finance Department :</t>
  </si>
  <si>
    <t>SQ Trading &amp; Engineering - Tractor Unit</t>
  </si>
  <si>
    <t>SQ Trading &amp; Engineering - Animal Health Care Unit</t>
  </si>
  <si>
    <t>SQ Trading &amp; Engineering - Fertilizer Unit</t>
  </si>
  <si>
    <t>SQ Trading &amp; Engineering - Harvester Unit</t>
  </si>
  <si>
    <t>Food 
Allowance</t>
  </si>
  <si>
    <t>Accommoda.
 Allowance</t>
  </si>
  <si>
    <t>Harvester Unit</t>
  </si>
  <si>
    <t>Tractor Unit</t>
  </si>
  <si>
    <t>Pesticide Unit</t>
  </si>
  <si>
    <t>Seed Unit</t>
  </si>
  <si>
    <t>Business Unit :</t>
  </si>
  <si>
    <t>Sr. Service Coordinator</t>
  </si>
  <si>
    <t>SQFMD-0785</t>
  </si>
  <si>
    <t>Md Sultan Mia</t>
  </si>
  <si>
    <t>SQFMD-0786</t>
  </si>
  <si>
    <t>Md Mazbahol Haque</t>
  </si>
  <si>
    <t>TM</t>
  </si>
  <si>
    <t>SQFMD-0787</t>
  </si>
  <si>
    <t>SQFMD-0788</t>
  </si>
  <si>
    <t>Md Shamim Hossain</t>
  </si>
  <si>
    <t>Cleaner</t>
  </si>
  <si>
    <t>SQFMD-0789</t>
  </si>
  <si>
    <t>Mohammad Nawshad Ali</t>
  </si>
  <si>
    <t>SQFMD-0791</t>
  </si>
  <si>
    <t>Md Rashidul Islam</t>
  </si>
  <si>
    <t>SQFMD-0797</t>
  </si>
  <si>
    <t>Bishojit Paul</t>
  </si>
  <si>
    <t>SQFMD-0798</t>
  </si>
  <si>
    <t>Md Sobuj Mondal</t>
  </si>
  <si>
    <t>SQFMD-0800</t>
  </si>
  <si>
    <t>Byron Sarkar</t>
  </si>
  <si>
    <t>SQFMD-0802</t>
  </si>
  <si>
    <t>Modhu Sudhan Dev Sharma</t>
  </si>
  <si>
    <t>103.103.1365831</t>
  </si>
  <si>
    <t>156.105.0299137</t>
  </si>
  <si>
    <t>163.158.0086001</t>
  </si>
  <si>
    <t>156.158.0097461</t>
  </si>
  <si>
    <t>175.105.0028351</t>
  </si>
  <si>
    <t>273.103.0017265</t>
  </si>
  <si>
    <t>103.120.0005801</t>
  </si>
  <si>
    <t>Banani Branch</t>
  </si>
  <si>
    <t>SQ Trading &amp; Engineering</t>
  </si>
  <si>
    <t>Commercial &amp; SCM</t>
  </si>
  <si>
    <t>Monitoring &amp; Branding</t>
  </si>
  <si>
    <t>Management Trainee</t>
  </si>
  <si>
    <t>Md. Khasru Rikabdaer</t>
  </si>
  <si>
    <t>SQFMD-0803</t>
  </si>
  <si>
    <t>Md Rumman Shaikh</t>
  </si>
  <si>
    <t>Zonal Manager</t>
  </si>
  <si>
    <t>SQFMD-0804</t>
  </si>
  <si>
    <t>Md Liaqueat Ali</t>
  </si>
  <si>
    <t>SQFMD-0805</t>
  </si>
  <si>
    <t>Tahmid Hasan Rakib</t>
  </si>
  <si>
    <t>Assistant Territory Sales officer</t>
  </si>
  <si>
    <t>SQFMD-0806</t>
  </si>
  <si>
    <t>Md Adib Daiyan</t>
  </si>
  <si>
    <t>SQFMD-0807</t>
  </si>
  <si>
    <t>CAHM Enayetullah</t>
  </si>
  <si>
    <t>SQFMD-0808</t>
  </si>
  <si>
    <t>Hiru Miah</t>
  </si>
  <si>
    <t>SQFMD-0809</t>
  </si>
  <si>
    <t>Md Alamin</t>
  </si>
  <si>
    <t>SQFMD-0812</t>
  </si>
  <si>
    <t>Md Noor Islam</t>
  </si>
  <si>
    <t>SQFMD-0813</t>
  </si>
  <si>
    <t>Md Rakibul Hasan</t>
  </si>
  <si>
    <t>SQFMD-0817</t>
  </si>
  <si>
    <t>Md Rabbi Hossain</t>
  </si>
  <si>
    <t>SQFMD-0818</t>
  </si>
  <si>
    <t>AKM Asif Iqbal</t>
  </si>
  <si>
    <t>Territory Manger</t>
  </si>
  <si>
    <t>SQFMD-0819</t>
  </si>
  <si>
    <t>Md Abdul Mazed Mondal</t>
  </si>
  <si>
    <t>SQFMD-0820</t>
  </si>
  <si>
    <t>Md Monir Hossain</t>
  </si>
  <si>
    <t>Md Shariful Islam</t>
  </si>
  <si>
    <t>Asst. Regional Manager</t>
  </si>
  <si>
    <t>SQFMD-0822</t>
  </si>
  <si>
    <t>Md Muradul Momin Murad</t>
  </si>
  <si>
    <t>SQFMD-0823</t>
  </si>
  <si>
    <t>Babul Miah</t>
  </si>
  <si>
    <t>SQFMD-0825</t>
  </si>
  <si>
    <t>Md Raihan Hossain</t>
  </si>
  <si>
    <t>SQFMD-0827</t>
  </si>
  <si>
    <t>Hamza Masud</t>
  </si>
  <si>
    <t>SQFMD-0828</t>
  </si>
  <si>
    <t>Md Sayful Alam</t>
  </si>
  <si>
    <t>SQFMD-0829</t>
  </si>
  <si>
    <t>Rasel Mollah</t>
  </si>
  <si>
    <t>SQFMD-0831</t>
  </si>
  <si>
    <t>Md Abdus Muntakimu Islam</t>
  </si>
  <si>
    <t>Sr. Territory Sales Officer</t>
  </si>
  <si>
    <t>SQFMD-0834</t>
  </si>
  <si>
    <t>Manuel Halder</t>
  </si>
  <si>
    <t>SQFMD-0835</t>
  </si>
  <si>
    <t>Md Nishad Hossain</t>
  </si>
  <si>
    <t>SQ Trading and Engineering</t>
  </si>
  <si>
    <t>163.158.0088597</t>
  </si>
  <si>
    <t>103.103.0171206</t>
  </si>
  <si>
    <t>194.158.0038531</t>
  </si>
  <si>
    <t>302.158.0003887</t>
  </si>
  <si>
    <t>256.158.0042967</t>
  </si>
  <si>
    <t>163.103.0143048</t>
  </si>
  <si>
    <t>204.158.0033795</t>
  </si>
  <si>
    <t>127.103.0185465</t>
  </si>
  <si>
    <t>141.151.0216687</t>
  </si>
  <si>
    <t>103.103.1247916</t>
  </si>
  <si>
    <t>175.151.0176230</t>
  </si>
  <si>
    <t>172.158.0077884</t>
  </si>
  <si>
    <t>135.158.0003415</t>
  </si>
  <si>
    <t>176.103.0059883</t>
  </si>
  <si>
    <t>103.103.1361939</t>
  </si>
  <si>
    <t>Supply Chain &amp; Commercial Management :</t>
  </si>
  <si>
    <t>103.103.1367217</t>
  </si>
  <si>
    <t>Others Deduction</t>
  </si>
  <si>
    <t>SQFMD-0832</t>
  </si>
  <si>
    <t>Md Hasnatul Alam</t>
  </si>
  <si>
    <t>Office Executive</t>
  </si>
  <si>
    <t>SQFMD-0836</t>
  </si>
  <si>
    <t>Md Ashraful Islam</t>
  </si>
  <si>
    <t>SQFMD-0837</t>
  </si>
  <si>
    <t>Md Rashedul Islam</t>
  </si>
  <si>
    <t>Recovery Officer</t>
  </si>
  <si>
    <t>SQFMD-0840</t>
  </si>
  <si>
    <t>Polash Chandro Roy</t>
  </si>
  <si>
    <t>SQFMD-0841</t>
  </si>
  <si>
    <t>Md Harun Ur Rosud</t>
  </si>
  <si>
    <t>SQFMD-0842</t>
  </si>
  <si>
    <t>Md Abdul Barek</t>
  </si>
  <si>
    <t>290.158.0021868</t>
  </si>
  <si>
    <t>103.103.1143715</t>
  </si>
  <si>
    <t>172.105.0145453</t>
  </si>
  <si>
    <t>194.158.0038755</t>
  </si>
  <si>
    <t>162.103.0232278</t>
  </si>
  <si>
    <t>262.103.0013079</t>
  </si>
  <si>
    <t>Workstation</t>
  </si>
  <si>
    <t>Mobile No</t>
  </si>
  <si>
    <t>Bike Model</t>
  </si>
  <si>
    <t>Bike Reg No</t>
  </si>
  <si>
    <t xml:space="preserve">No of EMI 
36 Nos </t>
  </si>
  <si>
    <t>Delivery 
Place</t>
  </si>
  <si>
    <t>Model wise 
Q'ty</t>
  </si>
  <si>
    <t>TSM</t>
  </si>
  <si>
    <t>Mymenshing</t>
  </si>
  <si>
    <t>01321-219238</t>
  </si>
  <si>
    <t>Mymensingh</t>
  </si>
  <si>
    <t>Netrokona-2</t>
  </si>
  <si>
    <t>DM HA-38-6568</t>
  </si>
  <si>
    <t>Tangail</t>
  </si>
  <si>
    <t>DM HA-38-6560</t>
  </si>
  <si>
    <t>Sr. TSO</t>
  </si>
  <si>
    <t>Manikganj</t>
  </si>
  <si>
    <t>01321-219274</t>
  </si>
  <si>
    <t>Md Aminul Islam</t>
  </si>
  <si>
    <t>01930-517524</t>
  </si>
  <si>
    <t>01321-219259</t>
  </si>
  <si>
    <t>01793-931371</t>
  </si>
  <si>
    <t>Hobiganj</t>
  </si>
  <si>
    <t>01321-21923</t>
  </si>
  <si>
    <t>Sylhet</t>
  </si>
  <si>
    <t>Sr. TM</t>
  </si>
  <si>
    <t>01321-219241</t>
  </si>
  <si>
    <t>Md. Imran Hossain</t>
  </si>
  <si>
    <t>01321-219250</t>
  </si>
  <si>
    <t>01321-2192720</t>
  </si>
  <si>
    <t>01774-390069</t>
  </si>
  <si>
    <t>01729-157376</t>
  </si>
  <si>
    <t>01961-208126</t>
  </si>
  <si>
    <t>01797-684388</t>
  </si>
  <si>
    <t>Jessore</t>
  </si>
  <si>
    <t>01321-219249</t>
  </si>
  <si>
    <t>Meherpur</t>
  </si>
  <si>
    <t>01321-219364</t>
  </si>
  <si>
    <t>Kushtia</t>
  </si>
  <si>
    <t>01329-721804</t>
  </si>
  <si>
    <t>Rajbari</t>
  </si>
  <si>
    <t>01329-721805</t>
  </si>
  <si>
    <t>Md Arman Hossain</t>
  </si>
  <si>
    <t>01321-219281</t>
  </si>
  <si>
    <t>01302-667499</t>
  </si>
  <si>
    <t>01321-219369</t>
  </si>
  <si>
    <t>Satkhira</t>
  </si>
  <si>
    <t>01321-219322</t>
  </si>
  <si>
    <t>Rangpur</t>
  </si>
  <si>
    <t>01321-219355</t>
  </si>
  <si>
    <t>Dinajpur</t>
  </si>
  <si>
    <t>01321-219362</t>
  </si>
  <si>
    <t>01329-721801</t>
  </si>
  <si>
    <t>Md. Ashraful Islam</t>
  </si>
  <si>
    <t>Thakurgaon</t>
  </si>
  <si>
    <t>01764-986891</t>
  </si>
  <si>
    <t>DM HA-38-98</t>
  </si>
  <si>
    <t>01707-401115</t>
  </si>
  <si>
    <t>01771-723577</t>
  </si>
  <si>
    <t>01321-219367</t>
  </si>
  <si>
    <t>Md. Rashedul Islam Chow.</t>
  </si>
  <si>
    <t>01321-219368</t>
  </si>
  <si>
    <t>Md. Al-Amin</t>
  </si>
  <si>
    <t>Sr.TO</t>
  </si>
  <si>
    <t>Rajshahi</t>
  </si>
  <si>
    <t>01329-721802</t>
  </si>
  <si>
    <t>Bogura</t>
  </si>
  <si>
    <t>Natore</t>
  </si>
  <si>
    <t>01321-219366</t>
  </si>
  <si>
    <t>01321-219335</t>
  </si>
  <si>
    <t>01321-219360</t>
  </si>
  <si>
    <t>01321-219343</t>
  </si>
  <si>
    <t>Cumilla</t>
  </si>
  <si>
    <t>01797-984026</t>
  </si>
  <si>
    <t>01703-479679</t>
  </si>
  <si>
    <t>Chittagong</t>
  </si>
  <si>
    <t>01321-219323</t>
  </si>
  <si>
    <t>01752-354180</t>
  </si>
  <si>
    <t>Borguna</t>
  </si>
  <si>
    <t>01321-219235</t>
  </si>
  <si>
    <t>Barisal</t>
  </si>
  <si>
    <t>Patuakhali</t>
  </si>
  <si>
    <t>01321-219229</t>
  </si>
  <si>
    <t>01321-219306</t>
  </si>
  <si>
    <t>01321-219288</t>
  </si>
  <si>
    <t>01311-854510</t>
  </si>
  <si>
    <t>01303-004545</t>
  </si>
  <si>
    <t>01673-691957</t>
  </si>
  <si>
    <t>01321-219267</t>
  </si>
  <si>
    <t>01321-219336</t>
  </si>
  <si>
    <t>Bhola</t>
  </si>
  <si>
    <t>01823-818660</t>
  </si>
  <si>
    <t xml:space="preserve">B. 55 Unit Hero Bike </t>
  </si>
  <si>
    <t>Sr. Officer</t>
  </si>
  <si>
    <t>Officer</t>
  </si>
  <si>
    <t>Sr. Service Engineer</t>
  </si>
  <si>
    <t>Accounts Officer (S&amp;P)</t>
  </si>
  <si>
    <t>SQFMD-0843</t>
  </si>
  <si>
    <t>Lablu Answeri</t>
  </si>
  <si>
    <t>SQFMD-0844</t>
  </si>
  <si>
    <t>Achinta Roy</t>
  </si>
  <si>
    <t>SQFMD-0846</t>
  </si>
  <si>
    <t>Uttam Kumar Roy</t>
  </si>
  <si>
    <t>SQFMD-0847</t>
  </si>
  <si>
    <t>Md Alamgir Hossain</t>
  </si>
  <si>
    <t>Sr. Territory Manager (Pesticide)</t>
  </si>
  <si>
    <t>SQFMD-0848</t>
  </si>
  <si>
    <t>Md Radoan Ahamed</t>
  </si>
  <si>
    <t>Spare &amp; Parts</t>
  </si>
  <si>
    <t>SQFMD-0849</t>
  </si>
  <si>
    <t>Md Sohel Rana</t>
  </si>
  <si>
    <t>SQFMD-0852</t>
  </si>
  <si>
    <t>Md Bipul Pramanik</t>
  </si>
  <si>
    <t>SQFMD-0853</t>
  </si>
  <si>
    <t>Md Nazmul Islam khandokar</t>
  </si>
  <si>
    <t>SQFMD-0854</t>
  </si>
  <si>
    <t>Md Shamim Hosan</t>
  </si>
  <si>
    <t>SQFMD-0855</t>
  </si>
  <si>
    <t>SQFMD-0856</t>
  </si>
  <si>
    <t>Md Jahid Hasan</t>
  </si>
  <si>
    <t>Regular Day</t>
  </si>
  <si>
    <t>Weekend</t>
  </si>
  <si>
    <t>Govt. Holidays</t>
  </si>
  <si>
    <t>Pabna</t>
  </si>
  <si>
    <t>01773-766662</t>
  </si>
  <si>
    <t>Noakhali</t>
  </si>
  <si>
    <t>Md. Abdus Muntakimu</t>
  </si>
  <si>
    <t>107.151.0121369</t>
  </si>
  <si>
    <t>Pesticide Unit :</t>
  </si>
  <si>
    <t>135.157.0032987</t>
  </si>
  <si>
    <t>103.103.1380275</t>
  </si>
  <si>
    <t>231.158.0109395</t>
  </si>
  <si>
    <t>172.158.0072690</t>
  </si>
  <si>
    <t>162.151.0295629</t>
  </si>
  <si>
    <t>152.157.0015930</t>
  </si>
  <si>
    <t>101.103.0040142</t>
  </si>
  <si>
    <t>103.103.1155200</t>
  </si>
  <si>
    <t>SQFMD-0860</t>
  </si>
  <si>
    <t>Md Amirul Islam</t>
  </si>
  <si>
    <t>Pesticide &amp; Fertilizer</t>
  </si>
  <si>
    <t>SQFMD-0861</t>
  </si>
  <si>
    <t>Md Nayeem Akhter</t>
  </si>
  <si>
    <t>SQFMD-0863</t>
  </si>
  <si>
    <t>SQFMD-0864</t>
  </si>
  <si>
    <t>Md Minarul Islam</t>
  </si>
  <si>
    <t>SQFMD-0865</t>
  </si>
  <si>
    <t>Md Aminur Islam</t>
  </si>
  <si>
    <t>Service Supervisor (Sr. Mechanic)</t>
  </si>
  <si>
    <t>SQFMD-0867</t>
  </si>
  <si>
    <t>CEO</t>
  </si>
  <si>
    <t>Sales &amp; Marketing Department :</t>
  </si>
  <si>
    <t>148.158.0045395</t>
  </si>
  <si>
    <t>157.158.0026753</t>
  </si>
  <si>
    <t>135.158.0152701</t>
  </si>
  <si>
    <t>163.151.0074287</t>
  </si>
  <si>
    <t>162.158.0129016</t>
  </si>
  <si>
    <t>103.103.1141341</t>
  </si>
  <si>
    <t>248.158.0071471</t>
  </si>
  <si>
    <t>SQFMD-0869</t>
  </si>
  <si>
    <t>Md Monowar Hossain</t>
  </si>
  <si>
    <t>SQFMD-0871</t>
  </si>
  <si>
    <t>Md Arif Molla</t>
  </si>
  <si>
    <t>SQFMD-0872</t>
  </si>
  <si>
    <t>Md Mizanur Rahaman</t>
  </si>
  <si>
    <t>SQFMD-0873</t>
  </si>
  <si>
    <t>SQFMD-0874</t>
  </si>
  <si>
    <t>SQFMD-0875</t>
  </si>
  <si>
    <t>Md Roknuzzaman</t>
  </si>
  <si>
    <t>SQFMD-0876</t>
  </si>
  <si>
    <t>Iqbal</t>
  </si>
  <si>
    <t>Worker</t>
  </si>
  <si>
    <t>SQFMD-0877</t>
  </si>
  <si>
    <t>Md Shabuz Mia</t>
  </si>
  <si>
    <t>162.158.0134850</t>
  </si>
  <si>
    <t>162.157.0032344</t>
  </si>
  <si>
    <t>302.158.0053713</t>
  </si>
  <si>
    <t>162.158.0135244</t>
  </si>
  <si>
    <t>161.158.0009002</t>
  </si>
  <si>
    <t>147.103.0490676</t>
  </si>
  <si>
    <t>CL / ML</t>
  </si>
  <si>
    <t>181.158.0055809</t>
  </si>
  <si>
    <t>By Bank</t>
  </si>
  <si>
    <t>Add: By Cash</t>
  </si>
  <si>
    <t>Jr. Executive</t>
  </si>
  <si>
    <t>SQFMD-0879</t>
  </si>
  <si>
    <t>Dewan Kamrul Hasan</t>
  </si>
  <si>
    <t>Asst. General Manager</t>
  </si>
  <si>
    <t>SQFMD-0881</t>
  </si>
  <si>
    <t>Md Mozahid</t>
  </si>
  <si>
    <t>SQFMD-0882</t>
  </si>
  <si>
    <t>Sujan Chandra Roy</t>
  </si>
  <si>
    <t>Farm Supervisor</t>
  </si>
  <si>
    <t>SQFMD-0883</t>
  </si>
  <si>
    <t>Md Ahsan Habib</t>
  </si>
  <si>
    <t>SQFMD-0886</t>
  </si>
  <si>
    <t>Md Asaduzzaman Sagor</t>
  </si>
  <si>
    <t>Jr. Engineer</t>
  </si>
  <si>
    <t>R &amp; D</t>
  </si>
  <si>
    <t>SQFMD-0887</t>
  </si>
  <si>
    <t>Md Rony Miya</t>
  </si>
  <si>
    <t>SQFMD-0889</t>
  </si>
  <si>
    <t>Md Golam Sorower</t>
  </si>
  <si>
    <t>SQFMD-0712</t>
  </si>
  <si>
    <t>Md. Tahsinur Rahman</t>
  </si>
  <si>
    <t>HR Officer</t>
  </si>
  <si>
    <t>125.103.0229731</t>
  </si>
  <si>
    <t>213.151.0003898</t>
  </si>
  <si>
    <t>103.103.1392785</t>
  </si>
  <si>
    <t>103.103.1392450</t>
  </si>
  <si>
    <t>125.158.0128985</t>
  </si>
  <si>
    <t>Total</t>
  </si>
  <si>
    <t>Sales</t>
  </si>
  <si>
    <t>Tractor</t>
  </si>
  <si>
    <t>Pesticide</t>
  </si>
  <si>
    <t xml:space="preserve"> </t>
  </si>
  <si>
    <t>Md. Alamgir Hossain</t>
  </si>
  <si>
    <t>SQFMD-0891</t>
  </si>
  <si>
    <t>Md Asaduzzaman</t>
  </si>
  <si>
    <t>SQFMD-0893</t>
  </si>
  <si>
    <t>Md Raju Mia</t>
  </si>
  <si>
    <t>SQFMD-0894</t>
  </si>
  <si>
    <t>Md Peyarul Islam</t>
  </si>
  <si>
    <t>SQFMD-0895</t>
  </si>
  <si>
    <t>Md Nasirul Islam</t>
  </si>
  <si>
    <t>SQFMD-0896</t>
  </si>
  <si>
    <t>Sree Bhupendronath Roy</t>
  </si>
  <si>
    <t>SQFMD-0897</t>
  </si>
  <si>
    <t>Md Wohed Ali</t>
  </si>
  <si>
    <t>SQFMD-0898</t>
  </si>
  <si>
    <t>Md Gias Uddin Howlader</t>
  </si>
  <si>
    <t>SQFMD-0900</t>
  </si>
  <si>
    <t>SQFMD-0509</t>
  </si>
  <si>
    <t>Md. Yousub Ali</t>
  </si>
  <si>
    <t>SQFMD-0901</t>
  </si>
  <si>
    <t>Ramani Kanta Barman</t>
  </si>
  <si>
    <t>SQFMD-0902</t>
  </si>
  <si>
    <t>Md Aibul Ali</t>
  </si>
  <si>
    <t>Lowbed Driver</t>
  </si>
  <si>
    <t>SQFMD-0903</t>
  </si>
  <si>
    <t>Md Tuhin Akram</t>
  </si>
  <si>
    <t>SQFMD-0904</t>
  </si>
  <si>
    <t>Md Rakib Hossain</t>
  </si>
  <si>
    <t>SQFMD-0905</t>
  </si>
  <si>
    <t>Md Atikur Rahman</t>
  </si>
  <si>
    <t>Executive</t>
  </si>
  <si>
    <t>SQFMD-0907</t>
  </si>
  <si>
    <t>Md Aslam Uddin</t>
  </si>
  <si>
    <t>SQFMD-0908</t>
  </si>
  <si>
    <t>M. Abdus Salam Sardar</t>
  </si>
  <si>
    <t>Audit &amp; Monitoring</t>
  </si>
  <si>
    <t>SQFMD-0909</t>
  </si>
  <si>
    <t>SQFMD-0911</t>
  </si>
  <si>
    <t>Md Rasadul Islam</t>
  </si>
  <si>
    <t>SQFMD-0912</t>
  </si>
  <si>
    <t>Abdush Salam Pappu</t>
  </si>
  <si>
    <t>SQFMD-0913</t>
  </si>
  <si>
    <t>Md Enamul Hoque</t>
  </si>
  <si>
    <t>SQFMD-0914</t>
  </si>
  <si>
    <t>Md Abdul Alim</t>
  </si>
  <si>
    <t>Driver (Van)</t>
  </si>
  <si>
    <t>SQFMD-0916</t>
  </si>
  <si>
    <t>Md Hazrat Ali</t>
  </si>
  <si>
    <t>Helper (Lowbed)</t>
  </si>
  <si>
    <t>SQFMD-0917</t>
  </si>
  <si>
    <t>Md Raju Ahammed</t>
  </si>
  <si>
    <t>SQFMD-0919</t>
  </si>
  <si>
    <t>Md Hasib Islam</t>
  </si>
  <si>
    <t>SQFMD-0920</t>
  </si>
  <si>
    <t>Md Habibur Rahman</t>
  </si>
  <si>
    <t>SQFMD-0921</t>
  </si>
  <si>
    <t>Md Rashel Babu</t>
  </si>
  <si>
    <t>Audit &amp; Monitoring :</t>
  </si>
  <si>
    <t>Audit &amp; Monitoring:</t>
  </si>
  <si>
    <t>SQFMD-0922</t>
  </si>
  <si>
    <t>Md Imran</t>
  </si>
  <si>
    <t>103.103.1371963</t>
  </si>
  <si>
    <t>242.158.0043602</t>
  </si>
  <si>
    <t>Providend Fund</t>
  </si>
  <si>
    <t>125.157.0043468</t>
  </si>
  <si>
    <t>127.105.0042964</t>
  </si>
  <si>
    <t>103.103.1394001</t>
  </si>
  <si>
    <t>103.103.1387811</t>
  </si>
  <si>
    <t>231.158.0123996</t>
  </si>
  <si>
    <t>103.103.1170723</t>
  </si>
  <si>
    <t>172.158.0102567</t>
  </si>
  <si>
    <t>103.103.0858066</t>
  </si>
  <si>
    <t>125.158.0134414</t>
  </si>
  <si>
    <t>125.158.0132974</t>
  </si>
  <si>
    <t>103.103.1252580</t>
  </si>
  <si>
    <t>207.158.0082755</t>
  </si>
  <si>
    <t>294.158.0020104</t>
  </si>
  <si>
    <t>262.158.0033439</t>
  </si>
  <si>
    <t>194.151.0136538</t>
  </si>
  <si>
    <t>PF Date Calculation</t>
  </si>
  <si>
    <t>PF Date Calcu</t>
  </si>
  <si>
    <t>Junior Executive</t>
  </si>
  <si>
    <t>219.151.0062240</t>
  </si>
  <si>
    <t>151.151.0184084</t>
  </si>
  <si>
    <t>267.103.0024494</t>
  </si>
  <si>
    <t>125.157.0069452</t>
  </si>
  <si>
    <t>103.103.1360786</t>
  </si>
  <si>
    <t>191.103.0201739</t>
  </si>
  <si>
    <t>218.103.0041632</t>
  </si>
  <si>
    <t>127.103.0237223</t>
  </si>
  <si>
    <t>278.158.0095201</t>
  </si>
  <si>
    <t>156.151.0345150</t>
  </si>
  <si>
    <t>172.158.0039727</t>
  </si>
  <si>
    <t>SQFMD-0918</t>
  </si>
  <si>
    <t>Suzit Kumar Roy</t>
  </si>
  <si>
    <t>SQFMD-0923</t>
  </si>
  <si>
    <t>Md Obaidul Haque</t>
  </si>
  <si>
    <t>SQFMD-0925</t>
  </si>
  <si>
    <t>Russel Ahmed</t>
  </si>
  <si>
    <t>SQFMD-0926</t>
  </si>
  <si>
    <t>Abdur Rahman</t>
  </si>
  <si>
    <t>Auditor &amp; Monitoring</t>
  </si>
  <si>
    <t>SQFMD-0927</t>
  </si>
  <si>
    <t>Md Khorshed Alam</t>
  </si>
  <si>
    <t>SQFMD-0928</t>
  </si>
  <si>
    <t>Md Abdur Rahim</t>
  </si>
  <si>
    <t>SQFMD-0929</t>
  </si>
  <si>
    <t>Mizanur Rahman</t>
  </si>
  <si>
    <t>SQFMD-0930</t>
  </si>
  <si>
    <t>Md Saidul Islam</t>
  </si>
  <si>
    <t>SQFMD-0931</t>
  </si>
  <si>
    <t>Md Hasin Ul Ahsan</t>
  </si>
  <si>
    <t>SQFMD-0933</t>
  </si>
  <si>
    <t>Md Shujon Ali</t>
  </si>
  <si>
    <t>SQFMD-0934</t>
  </si>
  <si>
    <t>Md Harun Or Rashid</t>
  </si>
  <si>
    <t>SQFMD-0935</t>
  </si>
  <si>
    <t>Alamgir</t>
  </si>
  <si>
    <t>SQFMD-0936</t>
  </si>
  <si>
    <t>SQFMD-0937</t>
  </si>
  <si>
    <t>Md Mithu Mia</t>
  </si>
  <si>
    <t>SQFMD-0938</t>
  </si>
  <si>
    <t>Md Nura Alam</t>
  </si>
  <si>
    <t>SQFMD-0939</t>
  </si>
  <si>
    <t>Md Ariful Islam</t>
  </si>
  <si>
    <t>SQFMD-0940</t>
  </si>
  <si>
    <t>Md Kabir Hosen</t>
  </si>
  <si>
    <t>SQFMD-0941</t>
  </si>
  <si>
    <t>Nazmul Haque</t>
  </si>
  <si>
    <t>SQFMD-0942</t>
  </si>
  <si>
    <t>Md Anarul Islam</t>
  </si>
  <si>
    <t>SQFMD-0943</t>
  </si>
  <si>
    <t>Md Shahin Alam</t>
  </si>
  <si>
    <t>SQFMD-0944</t>
  </si>
  <si>
    <t>Md Yousuf Miah</t>
  </si>
  <si>
    <t>SQFMD-0945</t>
  </si>
  <si>
    <t>Shahinur Zaman</t>
  </si>
  <si>
    <t>Junior Mechanic</t>
  </si>
  <si>
    <t>SQFMD-0946</t>
  </si>
  <si>
    <t>Md Hasinur Roshid</t>
  </si>
  <si>
    <t>SQFMD-0948</t>
  </si>
  <si>
    <t>Md Ainul Islam</t>
  </si>
  <si>
    <t>SQFMD-0949</t>
  </si>
  <si>
    <t>Masud Mia</t>
  </si>
  <si>
    <t>103.103.1361958</t>
  </si>
  <si>
    <t>204.103.0063931</t>
  </si>
  <si>
    <t>163.158.0112499</t>
  </si>
  <si>
    <t>268.158.0019315</t>
  </si>
  <si>
    <t>103.103.1395969</t>
  </si>
  <si>
    <t>163.103.0046521</t>
  </si>
  <si>
    <t>293.103.0420982</t>
  </si>
  <si>
    <t>103.103.672294</t>
  </si>
  <si>
    <t>141.151.0224664</t>
  </si>
  <si>
    <t>149.103.0272190</t>
  </si>
  <si>
    <t>103.103.1279247</t>
  </si>
  <si>
    <t>103.103.1395988</t>
  </si>
  <si>
    <t>193.151.0113724</t>
  </si>
  <si>
    <t>175.158.0061833</t>
  </si>
  <si>
    <t>162.103.0244468</t>
  </si>
  <si>
    <t>266.151.0076137</t>
  </si>
  <si>
    <t>172.103.0062164</t>
  </si>
  <si>
    <t>228.158.0086493</t>
  </si>
  <si>
    <t>200.103.0035874</t>
  </si>
  <si>
    <t>219.103.0078933</t>
  </si>
  <si>
    <t>268.158.0063242</t>
  </si>
  <si>
    <t>232.158.0075516</t>
  </si>
  <si>
    <t>296.158.0075000</t>
  </si>
  <si>
    <t>156.158.0130434</t>
  </si>
  <si>
    <t>Amount - 150 BDT/DAY/HEAD (Subsidy - 50%)</t>
  </si>
  <si>
    <t>SQ Trading &amp; Engineering - Spare Parts Unit</t>
  </si>
  <si>
    <t>Spare Parts Unit</t>
  </si>
  <si>
    <t>Administrative Department :</t>
  </si>
  <si>
    <t xml:space="preserve">Bank </t>
  </si>
  <si>
    <t xml:space="preserve">                                   </t>
  </si>
  <si>
    <t>Md Ziaur Rahman</t>
  </si>
  <si>
    <t>SQFMD-0960</t>
  </si>
  <si>
    <t>Md Bilash Hossain</t>
  </si>
  <si>
    <t>Territorry Service Manager</t>
  </si>
  <si>
    <t>SQFMD-0845</t>
  </si>
  <si>
    <t>Md Gias Uddin</t>
  </si>
  <si>
    <t>SQFMD-0950</t>
  </si>
  <si>
    <t>ABM Nizam Uddin</t>
  </si>
  <si>
    <t>Assistant Manager-Recovery</t>
  </si>
  <si>
    <t>SQFMD-0952</t>
  </si>
  <si>
    <t>Md Forhad Hosen</t>
  </si>
  <si>
    <t>SQFMD-0959</t>
  </si>
  <si>
    <t>Md Muniruzzaman</t>
  </si>
  <si>
    <t>SQFMD-0961</t>
  </si>
  <si>
    <t>Md Mogal Miah</t>
  </si>
  <si>
    <t>SQFMD-0962</t>
  </si>
  <si>
    <t>Md Ashraful Alam</t>
  </si>
  <si>
    <t>SQFMD-0954</t>
  </si>
  <si>
    <t>Md Shamim Ahmed</t>
  </si>
  <si>
    <t>Sr. General Manager</t>
  </si>
  <si>
    <t>SQFMD-0955</t>
  </si>
  <si>
    <t>Tofail Ahamed</t>
  </si>
  <si>
    <t>SQFMD-0956</t>
  </si>
  <si>
    <t>Jamal Hossain</t>
  </si>
  <si>
    <t>193.157.0041053</t>
  </si>
  <si>
    <t>103.103.1400910</t>
  </si>
  <si>
    <t>115.103.0145306</t>
  </si>
  <si>
    <t>103.103.1238408</t>
  </si>
  <si>
    <t>125.158.0143392</t>
  </si>
  <si>
    <t>114.103.0606462</t>
  </si>
  <si>
    <t>172.151.0207819</t>
  </si>
  <si>
    <t>206.158.0005904</t>
  </si>
  <si>
    <t>116.103.0906673</t>
  </si>
  <si>
    <t>103.103.1360952</t>
  </si>
  <si>
    <t>204.158.0062932</t>
  </si>
  <si>
    <t xml:space="preserve">Nazmun Sadman Sakib </t>
  </si>
  <si>
    <t>Assistant Manager(BD)</t>
  </si>
  <si>
    <t xml:space="preserve">C. 25 Unit Hero Bike </t>
  </si>
  <si>
    <t>Md Rashidul Islam Razu</t>
  </si>
  <si>
    <t>Engineer</t>
  </si>
  <si>
    <t>Mechanics</t>
  </si>
  <si>
    <t>Noagaon</t>
  </si>
  <si>
    <t>Joypurhat</t>
  </si>
  <si>
    <t>Gaibandha</t>
  </si>
  <si>
    <t>Gaibandha-2</t>
  </si>
  <si>
    <t>Lalmonirhat</t>
  </si>
  <si>
    <t>Nilphamary</t>
  </si>
  <si>
    <t>01329-721867</t>
  </si>
  <si>
    <t>01329-721931</t>
  </si>
  <si>
    <t>01329-721928</t>
  </si>
  <si>
    <t>01329-721866</t>
  </si>
  <si>
    <t>01329-721934</t>
  </si>
  <si>
    <t>01329-721926</t>
  </si>
  <si>
    <t>01329-721943</t>
  </si>
  <si>
    <t>01882-544913</t>
  </si>
  <si>
    <t>01329-721869</t>
  </si>
  <si>
    <t>01760-108233</t>
  </si>
  <si>
    <t>01786-288291</t>
  </si>
  <si>
    <t>01301-877913</t>
  </si>
  <si>
    <t>01750-770130</t>
  </si>
  <si>
    <t>01880-171438</t>
  </si>
  <si>
    <t>01329-721826</t>
  </si>
  <si>
    <t>01920-991254</t>
  </si>
  <si>
    <t>GLAMOUR</t>
  </si>
  <si>
    <t>PASSION XPRO</t>
  </si>
  <si>
    <t>Faridpur</t>
  </si>
  <si>
    <t>Capture</t>
  </si>
  <si>
    <t>Spare parts</t>
  </si>
  <si>
    <t>Others Deducttion</t>
  </si>
  <si>
    <t>Others Dedution</t>
  </si>
  <si>
    <t>Arrear Bonus</t>
  </si>
  <si>
    <t>SQFMD-0963</t>
  </si>
  <si>
    <t>SQFMD-0964</t>
  </si>
  <si>
    <t>Mohammod Rokon Ali</t>
  </si>
  <si>
    <t>SQFMD-0965</t>
  </si>
  <si>
    <t>Md. Habibur Rahman</t>
  </si>
  <si>
    <t>SQFMD-0966</t>
  </si>
  <si>
    <t>M M Shariful Islam</t>
  </si>
  <si>
    <t>SQFMD-0967</t>
  </si>
  <si>
    <t>Md. Monirul Islam</t>
  </si>
  <si>
    <t>SQFMD-0968</t>
  </si>
  <si>
    <t>Md. Sagor Hossen</t>
  </si>
  <si>
    <t>SQFMD-0969</t>
  </si>
  <si>
    <t>Milon Roy</t>
  </si>
  <si>
    <t>SQFMD-0970</t>
  </si>
  <si>
    <t>Md. Rashed Dastgir</t>
  </si>
  <si>
    <t>SQFMD-0971</t>
  </si>
  <si>
    <t>Md. Rofiqul Islam</t>
  </si>
  <si>
    <t>Logistic Officer</t>
  </si>
  <si>
    <t>SQFMD-0972</t>
  </si>
  <si>
    <t>Khan Sadat Anwar</t>
  </si>
  <si>
    <t>SQFMD-0973</t>
  </si>
  <si>
    <t>Md. Ahshan Ullah Khan</t>
  </si>
  <si>
    <t>Site Officer</t>
  </si>
  <si>
    <t>SQFMD-0974</t>
  </si>
  <si>
    <t>Moniruzzman</t>
  </si>
  <si>
    <t>SQFMD-0975</t>
  </si>
  <si>
    <t>Md.Rahim Badsha</t>
  </si>
  <si>
    <t>SQFMD-0977</t>
  </si>
  <si>
    <t>Assistant Mechanic</t>
  </si>
  <si>
    <t>SQFMD-0978</t>
  </si>
  <si>
    <t>SQFMD-0979</t>
  </si>
  <si>
    <t>Md Al Amin</t>
  </si>
  <si>
    <t>103.103.1404348</t>
  </si>
  <si>
    <t>103.103.1404327</t>
  </si>
  <si>
    <t>103.103.1404353</t>
  </si>
  <si>
    <t>228.103.0050406</t>
  </si>
  <si>
    <t>163.103.0198638</t>
  </si>
  <si>
    <t>163.158.0011296</t>
  </si>
  <si>
    <t>163.103.0198643</t>
  </si>
  <si>
    <t>269.103.0015873</t>
  </si>
  <si>
    <t>163.158.0125532</t>
  </si>
  <si>
    <t>162..158.0008989</t>
  </si>
  <si>
    <t>103.103.1377840</t>
  </si>
  <si>
    <t>248.103.0023038</t>
  </si>
  <si>
    <t>Md. Nayeem Akhtar</t>
  </si>
  <si>
    <t>01321-219268</t>
  </si>
  <si>
    <t>Dream 110</t>
  </si>
  <si>
    <t>Netrokona</t>
  </si>
  <si>
    <t>01321-219282</t>
  </si>
  <si>
    <t>01321-219269</t>
  </si>
  <si>
    <t>01329-721812</t>
  </si>
  <si>
    <t>Sunamganj</t>
  </si>
  <si>
    <t>01865-223490</t>
  </si>
  <si>
    <t>DM HA-72-4176</t>
  </si>
  <si>
    <t>Md. Esmail Hossain</t>
  </si>
  <si>
    <t>Kishorganj</t>
  </si>
  <si>
    <t>01329-721909</t>
  </si>
  <si>
    <t>01744-758890</t>
  </si>
  <si>
    <t>01783-780157</t>
  </si>
  <si>
    <t>Md. Shawon Ali</t>
  </si>
  <si>
    <t>01755-914997</t>
  </si>
  <si>
    <t>DM HA-72-4185</t>
  </si>
  <si>
    <t>01329-721917</t>
  </si>
  <si>
    <t>01321-219287</t>
  </si>
  <si>
    <t>01321-219279</t>
  </si>
  <si>
    <t>01321-219289</t>
  </si>
  <si>
    <t>01329-721829</t>
  </si>
  <si>
    <t>01329-721830</t>
  </si>
  <si>
    <t>01329-721820</t>
  </si>
  <si>
    <t>DM HA-72-4186</t>
  </si>
  <si>
    <t>01964-688596</t>
  </si>
  <si>
    <t>01770-639387</t>
  </si>
  <si>
    <t>01329-721907</t>
  </si>
  <si>
    <t>01407-629462</t>
  </si>
  <si>
    <t>DM HA-30-2274</t>
  </si>
  <si>
    <t>01329-721816</t>
  </si>
  <si>
    <t>DM HA-30-2273</t>
  </si>
  <si>
    <t>01329-721822</t>
  </si>
  <si>
    <t>01312-167132</t>
  </si>
  <si>
    <t>01321-219243</t>
  </si>
  <si>
    <t>DM HA-72-4198</t>
  </si>
  <si>
    <t>01321-219242</t>
  </si>
  <si>
    <t>DM HA-72-4192</t>
  </si>
  <si>
    <t>Sr.TM</t>
  </si>
  <si>
    <t>DM HA-72-4191</t>
  </si>
  <si>
    <t>Brahmanbaria</t>
  </si>
  <si>
    <t>DM HA-30-2276</t>
  </si>
  <si>
    <t>Sr. CRRM</t>
  </si>
  <si>
    <t>SPC-Procuction</t>
  </si>
  <si>
    <t>Jamalpur</t>
  </si>
  <si>
    <t>Glamour BS4</t>
  </si>
  <si>
    <t>Passion Xpro</t>
  </si>
  <si>
    <t>Hunk (ABS)</t>
  </si>
  <si>
    <t>DM HA-38-6722</t>
  </si>
  <si>
    <t>DM-HA-38-6727</t>
  </si>
  <si>
    <t>01321-219251</t>
  </si>
  <si>
    <t>DM-HA-38-6567</t>
  </si>
  <si>
    <t>DM-HA-38-6591</t>
  </si>
  <si>
    <t>DM-HA-38-6565</t>
  </si>
  <si>
    <t>01784-909314</t>
  </si>
  <si>
    <t>DM HA-38-6734</t>
  </si>
  <si>
    <t>DM-HA-38-6726</t>
  </si>
  <si>
    <t>DM-HA-38-6580</t>
  </si>
  <si>
    <t>DM-HA-38-6720</t>
  </si>
  <si>
    <t>01329-721941</t>
  </si>
  <si>
    <t>01329-721932</t>
  </si>
  <si>
    <t>01329-721902</t>
  </si>
  <si>
    <t>01329-721905</t>
  </si>
  <si>
    <t>01329-721903</t>
  </si>
  <si>
    <t>Md. Atikur Rahman</t>
  </si>
  <si>
    <t>Kurigram</t>
  </si>
  <si>
    <t>01329-721945</t>
  </si>
  <si>
    <t>Mithapukur</t>
  </si>
  <si>
    <t>01329-721881</t>
  </si>
  <si>
    <t>01329-721950</t>
  </si>
  <si>
    <t>SQ Trading &amp; Engineering ( FM Unit)</t>
  </si>
  <si>
    <t>Month</t>
  </si>
  <si>
    <t>ID                        :</t>
  </si>
  <si>
    <t>Name                :</t>
  </si>
  <si>
    <t>Designation     :</t>
  </si>
  <si>
    <t>Salary</t>
  </si>
  <si>
    <t>(A) INCOME FROM SALARY</t>
  </si>
  <si>
    <t>Last Yr</t>
  </si>
  <si>
    <t>Current Yr</t>
  </si>
  <si>
    <t>G</t>
  </si>
  <si>
    <t>Taka</t>
  </si>
  <si>
    <t>Total Tax</t>
  </si>
  <si>
    <t>Basic</t>
  </si>
  <si>
    <t>M</t>
  </si>
  <si>
    <t xml:space="preserve">Tax Deduct per Month </t>
  </si>
  <si>
    <t>House Rent</t>
  </si>
  <si>
    <t>Medical Allowance</t>
  </si>
  <si>
    <t>Conveyance Allowance</t>
  </si>
  <si>
    <t>Festival Bonus</t>
  </si>
  <si>
    <t>Company's Contribution to PF</t>
  </si>
  <si>
    <t>Extra Allow.</t>
  </si>
  <si>
    <t>Sub Total</t>
  </si>
  <si>
    <r>
      <rPr>
        <b/>
        <sz val="8"/>
        <rFont val="Sabon"/>
      </rPr>
      <t>LESS</t>
    </r>
    <r>
      <rPr>
        <sz val="8"/>
        <rFont val="Sabon"/>
      </rPr>
      <t xml:space="preserve"> : Exemption on :</t>
    </r>
  </si>
  <si>
    <t>a) As per 6th Schedul, Part-1, Para-27 :</t>
  </si>
  <si>
    <t>(Tk. 4,50,000/- or 1/3 of Salary Income which is lower)</t>
  </si>
  <si>
    <t>Maximum Total Exemption</t>
  </si>
  <si>
    <t>1/3 of Total Salary Income</t>
  </si>
  <si>
    <t>(B) Income from Interest on Securities Bank Interest:u/s 33</t>
  </si>
  <si>
    <t>(C) Income from house property: u/s 24 (as per schedule-2)</t>
  </si>
  <si>
    <t>(D) Income from other source</t>
  </si>
  <si>
    <r>
      <rPr>
        <b/>
        <sz val="8"/>
        <rFont val="Sabon"/>
      </rPr>
      <t>LESS</t>
    </r>
    <r>
      <rPr>
        <sz val="8"/>
        <rFont val="Sabon"/>
      </rPr>
      <t xml:space="preserve"> - Interest of Loan on Self Occupied Flat/Building ( as per sec 25,sub sec g)</t>
    </r>
  </si>
  <si>
    <t>TOTAL TAXABLE INCOME</t>
  </si>
  <si>
    <t>CALCULATION OF TAX LIABILITY:</t>
  </si>
  <si>
    <t>F</t>
  </si>
  <si>
    <t>Rate</t>
  </si>
  <si>
    <t>Amount of Tax</t>
  </si>
  <si>
    <t>On first Tk.</t>
  </si>
  <si>
    <t>On next Tk.</t>
  </si>
  <si>
    <t>On rest amount</t>
  </si>
  <si>
    <t>TOTAL TAX LIABILITY</t>
  </si>
  <si>
    <t>INVESTMENT ALLOWANCE :</t>
  </si>
  <si>
    <t>i)</t>
  </si>
  <si>
    <t>of Total Taxable Income</t>
  </si>
  <si>
    <t>ii)</t>
  </si>
  <si>
    <t xml:space="preserve">of actual investment </t>
  </si>
  <si>
    <t>Investment during this year</t>
  </si>
  <si>
    <t xml:space="preserve">15% allowance </t>
  </si>
  <si>
    <t>Mini investment allowance between 3% of taxable income or 15% of Actual Investment</t>
  </si>
  <si>
    <t>iii)</t>
  </si>
  <si>
    <t>Maximum Limit</t>
  </si>
  <si>
    <t xml:space="preserve">Allowanble Investment for Tax Rebate </t>
  </si>
  <si>
    <t>NET TAX PAYABLE (ITEM 11-ITEM 14)</t>
  </si>
  <si>
    <t>Adjustment if any from previous year</t>
  </si>
  <si>
    <t>Net Tax deducted at source</t>
  </si>
  <si>
    <t>Paid through Challan /  Tax  Excess Paid adjustment of next Assement Year 2019-2020</t>
  </si>
  <si>
    <t>Deduction at Source:</t>
  </si>
  <si>
    <t>Effect for new proposed Budget</t>
  </si>
  <si>
    <t>Tax deduct per month for next Three month</t>
  </si>
  <si>
    <t>Tax Calculation for Assessment Year July-25 to June-26</t>
  </si>
  <si>
    <t>Sales &amp; Marketing:</t>
  </si>
  <si>
    <t>SQFMD-0980</t>
  </si>
  <si>
    <t>Md Iqbal Hossen</t>
  </si>
  <si>
    <t>SQFMD-0981</t>
  </si>
  <si>
    <t>Nipa Monalisha</t>
  </si>
  <si>
    <t>SQFMD-0982</t>
  </si>
  <si>
    <t>Md. Abdul Hoque</t>
  </si>
  <si>
    <t>SQFMD-0983</t>
  </si>
  <si>
    <t>Md. Amirul Islam</t>
  </si>
  <si>
    <t>SQFMD-0984</t>
  </si>
  <si>
    <t>Md Alal Hossain Mithu</t>
  </si>
  <si>
    <t>168.103.0186275</t>
  </si>
  <si>
    <t>226.103.0027678</t>
  </si>
  <si>
    <t>103.103.1408011</t>
  </si>
  <si>
    <t>273.158.0020384</t>
  </si>
  <si>
    <t>209.103.0043024</t>
  </si>
  <si>
    <t>103.120.0006151</t>
  </si>
  <si>
    <t>Salary Arrear</t>
  </si>
  <si>
    <t>SQFMD-0987</t>
  </si>
  <si>
    <t>Md Inzamamul Haque</t>
  </si>
  <si>
    <t>SQFMD-0988</t>
  </si>
  <si>
    <t>SQFMD-0985</t>
  </si>
  <si>
    <t>Md Arif Hosen</t>
  </si>
  <si>
    <t>SQFMD-0986</t>
  </si>
  <si>
    <t>Akash Chandra Biswas</t>
  </si>
  <si>
    <t>Jashore</t>
  </si>
  <si>
    <t>Barishal</t>
  </si>
  <si>
    <t>SQ Nafis Crop Care Limited</t>
  </si>
  <si>
    <t>103.158.0002784</t>
  </si>
  <si>
    <t>273.158.0029384</t>
  </si>
  <si>
    <t>162.103.0246371</t>
  </si>
  <si>
    <t>249.103.0077051</t>
  </si>
  <si>
    <t>103.103.1403730</t>
  </si>
  <si>
    <t>125.158.0158446</t>
  </si>
  <si>
    <t>162.103.0246088</t>
  </si>
  <si>
    <t>240.103.0023837</t>
  </si>
  <si>
    <t>123 Units Motorcycle User List</t>
  </si>
  <si>
    <t>Applicable Rate</t>
  </si>
  <si>
    <t>SQFMD-0989</t>
  </si>
  <si>
    <t>SQFMD-0990</t>
  </si>
  <si>
    <t>SQFMD-0991</t>
  </si>
  <si>
    <t>SQFMD-0993</t>
  </si>
  <si>
    <t>SQFMD-0994</t>
  </si>
  <si>
    <t>SQFMD-0995</t>
  </si>
  <si>
    <t>SQFMD-0998</t>
  </si>
  <si>
    <t>SQFMD-0999</t>
  </si>
  <si>
    <t>SQFMD-1002</t>
  </si>
  <si>
    <t>SQFMD-1003</t>
  </si>
  <si>
    <t>Mohammad Elias Parwary</t>
  </si>
  <si>
    <t>Samiul Haque</t>
  </si>
  <si>
    <t>Sabbir Ahmed Siddiki</t>
  </si>
  <si>
    <t>Md Abu Said</t>
  </si>
  <si>
    <t>Brand Promotion Officer</t>
  </si>
  <si>
    <t>Md Nasir</t>
  </si>
  <si>
    <t>Sr. Production Officer</t>
  </si>
  <si>
    <t>Md Aminul Islam Manik</t>
  </si>
  <si>
    <t>Assistant Breeder</t>
  </si>
  <si>
    <t>Md Shamim Talukder</t>
  </si>
  <si>
    <t>Md Nizam Uddin</t>
  </si>
  <si>
    <t>Resigned</t>
  </si>
  <si>
    <t>Rgional Manager</t>
  </si>
  <si>
    <t>SQFMD-0992</t>
  </si>
  <si>
    <t>Md Arif Ahmad</t>
  </si>
  <si>
    <t>SQFMD-0996</t>
  </si>
  <si>
    <t>Md Asadul Islam Mridha</t>
  </si>
  <si>
    <t>SQFMD-0997</t>
  </si>
  <si>
    <t>Md Shoriful Islam Sobuj</t>
  </si>
  <si>
    <t>SQFMD-1000</t>
  </si>
  <si>
    <t>Md Jobayer Hassain</t>
  </si>
  <si>
    <t>SQFMD-1001</t>
  </si>
  <si>
    <t>Md Umor Faruq</t>
  </si>
  <si>
    <t>SQFMD-1004</t>
  </si>
  <si>
    <t>Md Abu Horaira Reegan</t>
  </si>
  <si>
    <t>SQFMD-1005</t>
  </si>
  <si>
    <t>Md Joynal Abedin</t>
  </si>
  <si>
    <t>250.158.0069835</t>
  </si>
  <si>
    <t>156.158.0123305</t>
  </si>
  <si>
    <t>172.151.0228417</t>
  </si>
  <si>
    <t>251.103.0062398</t>
  </si>
  <si>
    <t>125.158.0165255</t>
  </si>
  <si>
    <t>163.103.0201515</t>
  </si>
  <si>
    <t>105.103.0101744</t>
  </si>
  <si>
    <t>125.103.0239878</t>
  </si>
  <si>
    <t>220.103.0019753</t>
  </si>
  <si>
    <t>282.103.0058937</t>
  </si>
  <si>
    <t>206.103.0206850</t>
  </si>
  <si>
    <t>161.158.0069134</t>
  </si>
  <si>
    <t>163.103.0084846</t>
  </si>
  <si>
    <t>103.103.1040345</t>
  </si>
  <si>
    <t>172.103.0066324</t>
  </si>
  <si>
    <t>281.103.0181227</t>
  </si>
  <si>
    <t>127.158.0137621</t>
  </si>
  <si>
    <t>125.158.0168332</t>
  </si>
  <si>
    <t>162.103.0249854</t>
  </si>
  <si>
    <t>103.103.1413520</t>
  </si>
  <si>
    <t>169.158.0076132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</si>
  <si>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</si>
  <si>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</si>
  <si>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</si>
  <si>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</si>
  <si>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</si>
  <si>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</si>
  <si>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</si>
  <si>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</si>
  <si>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</si>
  <si>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</si>
  <si>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</si>
  <si>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</si>
  <si>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</si>
  <si>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</si>
  <si>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</si>
  <si>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</si>
  <si>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</si>
  <si>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</si>
  <si>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</si>
  <si>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</si>
  <si>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</si>
  <si>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</si>
  <si>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</si>
  <si>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</si>
  <si>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</si>
  <si>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</si>
  <si>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</si>
  <si>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</si>
  <si>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</si>
  <si>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</si>
  <si>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</si>
  <si>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</si>
  <si>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</si>
  <si>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</si>
  <si>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</si>
  <si>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</si>
  <si>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</si>
  <si>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</si>
  <si>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</si>
  <si>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</si>
  <si>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</si>
  <si>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</si>
  <si>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</si>
  <si>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</si>
  <si>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</si>
  <si>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</si>
  <si>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</si>
  <si>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</si>
  <si>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</si>
  <si>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</si>
  <si>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</si>
  <si>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</si>
  <si>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</si>
  <si>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</si>
  <si>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</si>
  <si>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</si>
  <si>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</si>
  <si>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</si>
  <si>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</si>
  <si>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</si>
  <si>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</si>
  <si>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</si>
  <si>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</si>
  <si>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</si>
  <si>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</si>
  <si>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</si>
  <si>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</si>
  <si>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</si>
  <si>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</si>
  <si>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</si>
  <si>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</si>
  <si>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</si>
  <si>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</si>
  <si>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</si>
  <si>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</si>
  <si>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</si>
  <si>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</si>
  <si>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</si>
  <si>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</si>
  <si>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</si>
  <si>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</si>
  <si>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Absent &amp; leave 
without payment</t>
  </si>
  <si>
    <t>Total days for
 payment</t>
  </si>
  <si>
    <t>SQFMD-1006</t>
  </si>
  <si>
    <t>Md Abdullah</t>
  </si>
  <si>
    <t>SQFMD-1007</t>
  </si>
  <si>
    <t>Md Zakaria Islam</t>
  </si>
  <si>
    <t>SQFMD-1008</t>
  </si>
  <si>
    <t>Md Abu Sufiyan</t>
  </si>
  <si>
    <t>SQFMD-1009</t>
  </si>
  <si>
    <t>Md Mahfuzur Rahman</t>
  </si>
  <si>
    <t>SQFMD-1010</t>
  </si>
  <si>
    <t>S.M Khalid Hasan Bappy</t>
  </si>
  <si>
    <t>SQFMD-1012</t>
  </si>
  <si>
    <t>Md Zubair Ibna Kabir</t>
  </si>
  <si>
    <t>SQFMD-1013</t>
  </si>
  <si>
    <t>Rabbv Ahmed</t>
  </si>
  <si>
    <t>SQFMD-1014</t>
  </si>
  <si>
    <t>Md Ripon Islam</t>
  </si>
  <si>
    <t>SQFMD-1015</t>
  </si>
  <si>
    <t>Md Forid Hossen</t>
  </si>
  <si>
    <t>Md Saiful Islam Rony</t>
  </si>
  <si>
    <t>SQFMD-1016</t>
  </si>
  <si>
    <t>Factory Incharge</t>
  </si>
  <si>
    <t>SQFMD-1017</t>
  </si>
  <si>
    <t>Md Sakib Hasan</t>
  </si>
  <si>
    <t>Trainee Mechanic</t>
  </si>
  <si>
    <t>SQFMD-1018</t>
  </si>
  <si>
    <t>Md Rifat Hasan</t>
  </si>
  <si>
    <t>SQFMD-1019</t>
  </si>
  <si>
    <t>Md Anamul Hasan Bhuiyan</t>
  </si>
  <si>
    <t>SQFMD-1020</t>
  </si>
  <si>
    <t>INCREMENT DUE</t>
  </si>
  <si>
    <t>Amitavo Chowdhury Wye</t>
  </si>
  <si>
    <t>Institutional Sales</t>
  </si>
  <si>
    <t>107.101.0044112</t>
  </si>
  <si>
    <t>161.158.0072082</t>
  </si>
  <si>
    <t>115.103.0210068</t>
  </si>
  <si>
    <t>241.105.0089688</t>
  </si>
  <si>
    <t>163.107.0096267</t>
  </si>
  <si>
    <t>234.151.0016212</t>
  </si>
  <si>
    <t>168.105.0016969</t>
  </si>
  <si>
    <t>210</t>
  </si>
  <si>
    <t>211</t>
  </si>
  <si>
    <t>178.158.0062449</t>
  </si>
  <si>
    <t>147.158.0005102</t>
  </si>
  <si>
    <t>187.103.0434080</t>
  </si>
  <si>
    <t>Summary of Salary &amp; Allowance for the month of December - 2024 (Unit wise)</t>
  </si>
  <si>
    <t>Salary Statement for the month of December - 2024</t>
  </si>
  <si>
    <t>Salary &amp; Allowance for the month of December - 2024</t>
  </si>
  <si>
    <t>Salary Statement for the month of  December - 2024</t>
  </si>
  <si>
    <t>Disbursement of employee salary for the month of December - 2024 from C/D Account # 116.110.0032360</t>
  </si>
  <si>
    <t>Salary for the month of December - 2024</t>
  </si>
  <si>
    <t>Disbursement of employee salary for the month of December - 2024 from C/D Account # 103.120.0005801</t>
  </si>
  <si>
    <t>Disbursement of employee salary for the month of December - 2024 from C/D Account # 103.120.0006151</t>
  </si>
  <si>
    <t>For the month of December - 2024</t>
  </si>
  <si>
    <t>Permanent</t>
  </si>
  <si>
    <t>ON Observation</t>
  </si>
  <si>
    <t>Absence Issues</t>
  </si>
  <si>
    <t>Md Monwar Hossain</t>
  </si>
  <si>
    <t>Contractual</t>
  </si>
  <si>
    <t>Probation</t>
  </si>
  <si>
    <t>Motorbike Installments Nov-24 Refund</t>
  </si>
  <si>
    <t>Abscent</t>
  </si>
  <si>
    <t>Md Matlibur Rahman Khondokar</t>
  </si>
  <si>
    <t>SQFMD-0714</t>
  </si>
  <si>
    <t>Md. Jakir Hossain</t>
  </si>
  <si>
    <t>Salar Due NOV-24 for 7 days</t>
  </si>
  <si>
    <t>SQFMD-0592</t>
  </si>
  <si>
    <t>Md. Rubel Rana</t>
  </si>
  <si>
    <t>SQFMD-1022</t>
  </si>
  <si>
    <t>Mozahid Hossen</t>
  </si>
  <si>
    <t>SQFMD-1023</t>
  </si>
  <si>
    <t>AR Selim</t>
  </si>
  <si>
    <t>SQFMD-1025</t>
  </si>
  <si>
    <t>Md ZM Zannatul Hadik</t>
  </si>
  <si>
    <t>MIS Officer</t>
  </si>
  <si>
    <t>SQFMD-1026</t>
  </si>
  <si>
    <t>Md Fefdwsh Alam</t>
  </si>
  <si>
    <t>SQFMD-1027</t>
  </si>
  <si>
    <t>Md Sakil Hasan</t>
  </si>
  <si>
    <t>Electrician</t>
  </si>
  <si>
    <t>SQFMD-1028</t>
  </si>
  <si>
    <t>Security Guard</t>
  </si>
  <si>
    <t>Job Type</t>
  </si>
  <si>
    <t>Asst. Manager(Materials Control)</t>
  </si>
  <si>
    <t>Deputy Manager (Tractor)</t>
  </si>
  <si>
    <t>Management Trainee(Intern)</t>
  </si>
  <si>
    <t>125.103.0242006</t>
  </si>
  <si>
    <t>103.103.1420228</t>
  </si>
  <si>
    <t>285.103.0077016</t>
  </si>
  <si>
    <t>141.151.158162</t>
  </si>
  <si>
    <t>125.158.0180213</t>
  </si>
  <si>
    <t>125.157.0089459</t>
  </si>
  <si>
    <t>103.103.1421085</t>
  </si>
  <si>
    <t>Resign</t>
  </si>
  <si>
    <t>New Reg (Aug)</t>
  </si>
  <si>
    <t>XBlade</t>
  </si>
  <si>
    <t>MYM-Showroom</t>
  </si>
  <si>
    <t>Livo</t>
  </si>
  <si>
    <t>1329-721948</t>
  </si>
  <si>
    <t>01329-721961</t>
  </si>
  <si>
    <t>DM HA-38-6597</t>
  </si>
  <si>
    <t>DWH</t>
  </si>
  <si>
    <t>Cumilla-Showroom</t>
  </si>
  <si>
    <t>Captured</t>
  </si>
  <si>
    <t>A. 43 Unit Honda Bike</t>
  </si>
  <si>
    <t>Showroom</t>
  </si>
  <si>
    <t>0175-1430514</t>
  </si>
  <si>
    <t>0132-1219365</t>
  </si>
  <si>
    <t>01329-721963</t>
  </si>
  <si>
    <t>Dedu. Jan-25</t>
  </si>
  <si>
    <t>Sylhet - Dealer</t>
  </si>
  <si>
    <t>Cum-Showroom</t>
  </si>
  <si>
    <t>Dream 111</t>
  </si>
  <si>
    <t>343.158.0012643</t>
  </si>
  <si>
    <t>187.158.0091520</t>
  </si>
  <si>
    <t>Nov &amp; Dec-24</t>
  </si>
  <si>
    <t>** Bike Loan Adjustment (Previous Deduct)</t>
  </si>
  <si>
    <t>Ref: SQ/A&amp;F/Bank/2025-01/</t>
  </si>
  <si>
    <r>
      <t xml:space="preserve">We are pleased to submit herewith the list of employees with their payable amount Tk. 20,77,351/- (Twenty Lakh Seventy-Seven Thousand Three Hundred Fifty-One) only against salary for the month of December - 2024 of 60 (Sixty) staffs to disburse to the respective savings accounts.
Salary &amp; Allowances summary will be send from the following Email address: </t>
    </r>
    <r>
      <rPr>
        <b/>
        <sz val="12"/>
        <rFont val="Calibri"/>
        <family val="2"/>
        <scheme val="minor"/>
      </rPr>
      <t xml:space="preserve">"abdullah_mamunac@sq-bd.com". </t>
    </r>
    <r>
      <rPr>
        <sz val="12"/>
        <rFont val="Calibri"/>
        <family val="2"/>
        <scheme val="minor"/>
      </rPr>
      <t xml:space="preserve">
And for any query please contact with this number : </t>
    </r>
    <r>
      <rPr>
        <b/>
        <sz val="12"/>
        <rFont val="Calibri"/>
        <family val="2"/>
        <scheme val="minor"/>
      </rPr>
      <t>01321-219294.</t>
    </r>
  </si>
  <si>
    <r>
      <t xml:space="preserve">We are pleased to submit herewith the list of employees with their payable amount Tk. 18,20,823/- (Eighteen Lakh Twenty Thousand Eight Hundred Twenty-Three) only against salary for the month of December - 2024 of 62 (Sixty Two) staffs to disburse to the respective savings accounts.
Salary &amp; Allowances summary will be send from the following Email address: </t>
    </r>
    <r>
      <rPr>
        <b/>
        <sz val="12"/>
        <rFont val="Calibri"/>
        <family val="2"/>
        <scheme val="minor"/>
      </rPr>
      <t xml:space="preserve">"abdullah_mamunac@sq-bd.com". </t>
    </r>
    <r>
      <rPr>
        <sz val="12"/>
        <rFont val="Calibri"/>
        <family val="2"/>
        <scheme val="minor"/>
      </rPr>
      <t xml:space="preserve">
And for any query please contact with this number : </t>
    </r>
    <r>
      <rPr>
        <b/>
        <sz val="12"/>
        <rFont val="Calibri"/>
        <family val="2"/>
        <scheme val="minor"/>
      </rPr>
      <t>01321-219294.</t>
    </r>
  </si>
  <si>
    <r>
      <t xml:space="preserve">We are pleased to submit herewith the list of employees with their payable amount Tk. 64,32,033/- (Sixty-Four Lakh Thirty-Two Thousand Thirty-Three) only against salary for the month of December - 2024 of 211 (Two Hundred Eleven) staffs to disburse to the respective savings accounts.
Salary &amp; Allowances summary will be send from the following Email address: </t>
    </r>
    <r>
      <rPr>
        <b/>
        <sz val="12"/>
        <rFont val="Calibri"/>
        <family val="2"/>
        <scheme val="minor"/>
      </rPr>
      <t xml:space="preserve">"abdullah_mamunac@sq-bd.com". </t>
    </r>
    <r>
      <rPr>
        <sz val="12"/>
        <rFont val="Calibri"/>
        <family val="2"/>
        <scheme val="minor"/>
      </rPr>
      <t xml:space="preserve">
And for any query please contact with this number : </t>
    </r>
    <r>
      <rPr>
        <b/>
        <sz val="12"/>
        <rFont val="Calibri"/>
        <family val="2"/>
        <scheme val="minor"/>
      </rPr>
      <t>01321-219294.</t>
    </r>
  </si>
  <si>
    <t>PF Calculation Closing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</si>
</sst>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[$-409]d\-mmm\-yy;@"/>
    <numFmt numFmtId="167" formatCode="dd/mm/yy;@"/>
    <numFmt numFmtId="168" formatCode="_-* #,##0_-;\-* #,##0_-;_-* &quot;-&quot;??_-;_-@_-"/>
    <numFmt numFmtId="169" formatCode="_ * #,##0.00_ ;_ * \-#,##0.00_ ;_ * &quot;-&quot;??_ ;_ @_ "/>
    <numFmt numFmtId="170" formatCode="_ * #,##0_ ;_ * \-#,##0_ ;_ * &quot;-&quot;??_ ;_ @_ "/>
    <numFmt numFmtId="171" formatCode="dd/mm/yyyy;@"/>
    <numFmt numFmtId="172" formatCode="[$-409]dd\-mmm\-yy;@"/>
    <numFmt numFmtId="173" formatCode="0;[Red]0"/>
    <numFmt numFmtId="174" formatCode="[$-809]dd\ mmmm\ yyyy;@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0"/>
      <name val="Arial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20"/>
      <color theme="1"/>
      <name val="Arial Narrow"/>
      <family val="2"/>
    </font>
    <font>
      <sz val="8"/>
      <color theme="1"/>
      <name val="Arial Narrow"/>
      <family val="2"/>
    </font>
    <font>
      <b/>
      <sz val="14"/>
      <color theme="1"/>
      <name val="Arial Narrow"/>
      <family val="2"/>
    </font>
    <font>
      <b/>
      <sz val="9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8"/>
      <color theme="1"/>
      <name val="Arial Narrow"/>
      <family val="2"/>
    </font>
    <font>
      <b/>
      <u val="doubleAccounting"/>
      <sz val="10"/>
      <color rgb="FFFF0000"/>
      <name val="Arial Narrow"/>
      <family val="2"/>
    </font>
    <font>
      <b/>
      <sz val="11"/>
      <name val="Arial"/>
      <family val="2"/>
    </font>
    <font>
      <u val="doubleAccounting"/>
      <sz val="10"/>
      <color theme="1"/>
      <name val="Arial Narrow"/>
      <family val="2"/>
    </font>
    <font>
      <b/>
      <u val="doubleAccounting"/>
      <sz val="8"/>
      <color rgb="FFFF0000"/>
      <name val="Arial Narrow"/>
      <family val="2"/>
    </font>
    <font>
      <sz val="14"/>
      <color theme="1"/>
      <name val="Arial Narrow"/>
      <family val="2"/>
    </font>
    <font>
      <sz val="13"/>
      <color theme="1"/>
      <name val="Arial Narrow"/>
      <family val="2"/>
    </font>
    <font>
      <u val="doubleAccounting"/>
      <sz val="11"/>
      <color theme="1"/>
      <name val="Arial Narrow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8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u/>
      <sz val="12"/>
      <color rgb="FF000000"/>
      <name val="Arial"/>
      <family val="2"/>
    </font>
    <font>
      <b/>
      <sz val="14"/>
      <name val="Arial"/>
      <family val="2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1"/>
      <color rgb="FF000000"/>
      <name val="Bookman Old Style"/>
      <family val="1"/>
    </font>
    <font>
      <sz val="10"/>
      <color rgb="FF000000"/>
      <name val="Calibri"/>
      <family val="2"/>
      <scheme val="minor"/>
    </font>
    <font>
      <sz val="10"/>
      <color rgb="FF000000"/>
      <name val="Bookman Old Style"/>
      <family val="1"/>
    </font>
    <font>
      <b/>
      <sz val="12"/>
      <color rgb="FF000000"/>
      <name val="Bookman Old Style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8"/>
      <color theme="1"/>
      <name val="Bookman Old Style"/>
      <family val="1"/>
    </font>
    <font>
      <sz val="10"/>
      <color theme="1"/>
      <name val="Arial"/>
      <family val="2"/>
    </font>
    <font>
      <sz val="11"/>
      <color rgb="FF000000"/>
      <name val="Bookman Old Style"/>
      <family val="1"/>
    </font>
    <font>
      <b/>
      <sz val="9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16"/>
      <name val="Arial"/>
      <family val="2"/>
    </font>
    <font>
      <sz val="9"/>
      <name val="Arial"/>
      <family val="2"/>
    </font>
    <font>
      <b/>
      <sz val="9"/>
      <color indexed="8"/>
      <name val="Sabon"/>
    </font>
    <font>
      <b/>
      <sz val="9"/>
      <name val="Arial"/>
      <family val="2"/>
    </font>
    <font>
      <sz val="9"/>
      <color indexed="8"/>
      <name val="Sabon"/>
    </font>
    <font>
      <b/>
      <sz val="9"/>
      <name val="Calibri"/>
      <family val="2"/>
      <scheme val="minor"/>
    </font>
    <font>
      <sz val="8"/>
      <name val="Sabon"/>
    </font>
    <font>
      <b/>
      <sz val="9"/>
      <name val="Sabon"/>
    </font>
    <font>
      <sz val="9"/>
      <name val="Sabon"/>
    </font>
    <font>
      <b/>
      <sz val="8"/>
      <name val="Sabon"/>
    </font>
    <font>
      <b/>
      <u/>
      <sz val="8"/>
      <name val="Sabon"/>
    </font>
    <font>
      <sz val="8"/>
      <color indexed="8"/>
      <name val="Sabon"/>
    </font>
    <font>
      <b/>
      <sz val="8"/>
      <color indexed="8"/>
      <name val="Sabon"/>
    </font>
    <font>
      <sz val="8"/>
      <color rgb="FFFF0000"/>
      <name val="Sabon"/>
    </font>
    <font>
      <sz val="8"/>
      <color rgb="FF002060"/>
      <name val="Sabon"/>
    </font>
    <font>
      <sz val="10"/>
      <color rgb="FFFF0000"/>
      <name val="Arial"/>
      <family val="2"/>
    </font>
    <font>
      <u/>
      <sz val="8"/>
      <name val="Sabon"/>
    </font>
    <font>
      <sz val="8"/>
      <name val="Arial"/>
      <family val="2"/>
    </font>
    <font>
      <b/>
      <sz val="10"/>
      <name val="Sabon"/>
    </font>
    <font>
      <sz val="10"/>
      <name val="Sabon"/>
    </font>
    <font>
      <b/>
      <sz val="11"/>
      <name val="Times New Roman"/>
      <family val="1"/>
    </font>
    <font>
      <b/>
      <sz val="10"/>
      <name val="Helv"/>
    </font>
    <font>
      <b/>
      <sz val="12"/>
      <name val="Helv"/>
    </font>
    <font>
      <sz val="10"/>
      <color rgb="FFFFFF00"/>
      <name val="Arial Narrow"/>
      <family val="2"/>
    </font>
    <font>
      <sz val="11"/>
      <color rgb="FFFFFF00"/>
      <name val="Arial Narrow"/>
      <family val="2"/>
    </font>
    <font>
      <b/>
      <sz val="10"/>
      <color rgb="FFFFFF00"/>
      <name val="Arial Narrow"/>
      <family val="2"/>
    </font>
    <font>
      <b/>
      <sz val="20"/>
      <name val="Arial Narrow"/>
      <family val="2"/>
    </font>
    <font>
      <u val="doubleAccounting"/>
      <sz val="10"/>
      <name val="Arial Narrow"/>
      <family val="2"/>
    </font>
    <font>
      <b/>
      <u val="doubleAccounting"/>
      <sz val="10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b/>
      <sz val="10"/>
      <color rgb="FF000000"/>
      <name val="Bookman Old Style"/>
      <family val="1"/>
    </font>
    <font>
      <b/>
      <sz val="10"/>
      <color theme="1"/>
      <name val="Bookman Old Style"/>
      <family val="1"/>
    </font>
    <font>
      <b/>
      <sz val="20"/>
      <color theme="1"/>
      <name val="Bookman Old Style"/>
      <family val="1"/>
    </font>
    <font>
      <sz val="10"/>
      <color theme="1"/>
      <name val="Bookman Old Style"/>
      <family val="1"/>
    </font>
    <font>
      <b/>
      <sz val="11"/>
      <color rgb="FFFF0000"/>
      <name val="Bookman Old Style"/>
      <family val="1"/>
    </font>
    <font>
      <sz val="11"/>
      <color theme="4" tint="-0.249977111117893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sz val="10"/>
      <name val="Bookman Old Style"/>
      <family val="1"/>
    </font>
    <font>
      <sz val="11"/>
      <color rgb="FFFF0000"/>
      <name val="Bookman Old Style"/>
      <family val="1"/>
    </font>
    <font>
      <sz val="10"/>
      <color rgb="FFFF0000"/>
      <name val="Bookman Old Style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66"/>
        <bgColor rgb="FF000000"/>
      </patternFill>
    </fill>
  </fills>
  <borders count="8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rgb="FF000000"/>
      </right>
      <top style="hair">
        <color indexed="64"/>
      </top>
      <bottom/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44" fillId="0" borderId="0"/>
    <xf numFmtId="169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" fillId="0" borderId="0"/>
    <xf numFmtId="9" fontId="44" fillId="0" borderId="0" applyFont="0" applyFill="0" applyBorder="0" applyAlignment="0" applyProtection="0"/>
    <xf numFmtId="0" fontId="55" fillId="0" borderId="56" applyNumberFormat="0" applyFill="0" applyAlignment="0" applyProtection="0"/>
    <xf numFmtId="164" fontId="1" fillId="0" borderId="0" applyFont="0" applyFill="0" applyBorder="0" applyAlignment="0" applyProtection="0"/>
  </cellStyleXfs>
  <cellXfs count="1233">
    <xf numFmtId="0" fontId="0" fillId="0" borderId="0" xfId="0"/>
    <xf numFmtId="1" fontId="4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5" fontId="10" fillId="0" borderId="9" xfId="1" applyNumberFormat="1" applyFont="1" applyFill="1" applyBorder="1" applyAlignment="1" applyProtection="1">
      <alignment horizontal="left" vertical="center"/>
      <protection locked="0"/>
    </xf>
    <xf numFmtId="165" fontId="10" fillId="0" borderId="11" xfId="1" applyNumberFormat="1" applyFont="1" applyFill="1" applyBorder="1" applyAlignment="1" applyProtection="1">
      <alignment horizontal="left" vertical="center"/>
      <protection locked="0"/>
    </xf>
    <xf numFmtId="165" fontId="5" fillId="0" borderId="0" xfId="1" applyNumberFormat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43" fontId="8" fillId="2" borderId="0" xfId="1" applyFont="1" applyFill="1" applyAlignment="1">
      <alignment vertical="center"/>
    </xf>
    <xf numFmtId="165" fontId="11" fillId="2" borderId="0" xfId="1" applyNumberFormat="1" applyFont="1" applyFill="1" applyBorder="1" applyAlignment="1">
      <alignment vertical="center"/>
    </xf>
    <xf numFmtId="165" fontId="9" fillId="2" borderId="0" xfId="1" applyNumberFormat="1" applyFont="1" applyFill="1" applyAlignment="1">
      <alignment vertical="center"/>
    </xf>
    <xf numFmtId="165" fontId="8" fillId="0" borderId="0" xfId="0" applyNumberFormat="1" applyFont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3" fontId="8" fillId="0" borderId="0" xfId="1" applyFont="1" applyFill="1" applyAlignment="1">
      <alignment vertical="center"/>
    </xf>
    <xf numFmtId="0" fontId="16" fillId="2" borderId="0" xfId="0" applyFont="1" applyFill="1" applyAlignment="1" applyProtection="1">
      <alignment vertical="center"/>
      <protection locked="0"/>
    </xf>
    <xf numFmtId="1" fontId="4" fillId="2" borderId="0" xfId="0" applyNumberFormat="1" applyFont="1" applyFill="1" applyAlignment="1" applyProtection="1">
      <alignment vertical="center"/>
      <protection locked="0"/>
    </xf>
    <xf numFmtId="1" fontId="4" fillId="2" borderId="0" xfId="0" applyNumberFormat="1" applyFont="1" applyFill="1" applyAlignment="1" applyProtection="1">
      <alignment horizontal="center" vertical="center" wrapText="1"/>
      <protection locked="0"/>
    </xf>
    <xf numFmtId="1" fontId="13" fillId="2" borderId="0" xfId="0" applyNumberFormat="1" applyFont="1" applyFill="1" applyAlignment="1" applyProtection="1">
      <alignment horizontal="right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" fontId="19" fillId="2" borderId="1" xfId="0" quotePrefix="1" applyNumberFormat="1" applyFont="1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1" xfId="1" applyNumberFormat="1" applyFont="1" applyFill="1" applyBorder="1" applyAlignment="1" applyProtection="1">
      <alignment horizontal="center" vertical="center"/>
      <protection locked="0"/>
    </xf>
    <xf numFmtId="166" fontId="10" fillId="2" borderId="1" xfId="3" applyNumberFormat="1" applyFont="1" applyFill="1" applyBorder="1" applyAlignment="1" applyProtection="1">
      <alignment horizontal="center" vertical="center" wrapText="1"/>
      <protection locked="0"/>
    </xf>
    <xf numFmtId="165" fontId="10" fillId="2" borderId="1" xfId="1" applyNumberFormat="1" applyFont="1" applyFill="1" applyBorder="1" applyAlignment="1" applyProtection="1">
      <alignment horizontal="center" vertical="center" wrapText="1"/>
    </xf>
    <xf numFmtId="1" fontId="10" fillId="2" borderId="1" xfId="1" applyNumberFormat="1" applyFont="1" applyFill="1" applyBorder="1" applyAlignment="1" applyProtection="1">
      <alignment horizontal="center" vertical="center" wrapText="1"/>
    </xf>
    <xf numFmtId="43" fontId="10" fillId="2" borderId="1" xfId="1" applyFont="1" applyFill="1" applyBorder="1" applyAlignment="1" applyProtection="1">
      <alignment vertical="center" wrapText="1"/>
      <protection locked="0"/>
    </xf>
    <xf numFmtId="43" fontId="13" fillId="2" borderId="1" xfId="1" applyFont="1" applyFill="1" applyBorder="1" applyAlignment="1" applyProtection="1">
      <alignment horizontal="center" vertical="center" wrapText="1"/>
    </xf>
    <xf numFmtId="165" fontId="10" fillId="2" borderId="1" xfId="1" applyNumberFormat="1" applyFont="1" applyFill="1" applyBorder="1" applyAlignment="1" applyProtection="1">
      <alignment horizontal="center" vertical="center" wrapText="1"/>
      <protection locked="0"/>
    </xf>
    <xf numFmtId="165" fontId="10" fillId="2" borderId="1" xfId="1" applyNumberFormat="1" applyFont="1" applyFill="1" applyBorder="1" applyAlignment="1">
      <alignment horizontal="center" vertical="center"/>
    </xf>
    <xf numFmtId="43" fontId="13" fillId="2" borderId="1" xfId="1" applyFont="1" applyFill="1" applyBorder="1" applyAlignment="1">
      <alignment horizontal="center" vertical="center"/>
    </xf>
    <xf numFmtId="165" fontId="10" fillId="2" borderId="1" xfId="1" applyNumberFormat="1" applyFont="1" applyFill="1" applyBorder="1" applyAlignment="1" applyProtection="1">
      <alignment vertical="center" wrapText="1"/>
      <protection locked="0"/>
    </xf>
    <xf numFmtId="165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vertical="center"/>
      <protection locked="0"/>
    </xf>
    <xf numFmtId="1" fontId="10" fillId="0" borderId="15" xfId="0" quotePrefix="1" applyNumberFormat="1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1" fontId="10" fillId="0" borderId="15" xfId="1" applyNumberFormat="1" applyFont="1" applyFill="1" applyBorder="1" applyAlignment="1" applyProtection="1">
      <alignment horizontal="left" vertical="center"/>
      <protection locked="0"/>
    </xf>
    <xf numFmtId="1" fontId="10" fillId="0" borderId="15" xfId="1" applyNumberFormat="1" applyFont="1" applyFill="1" applyBorder="1" applyAlignment="1" applyProtection="1">
      <alignment horizontal="center" vertical="center"/>
      <protection locked="0"/>
    </xf>
    <xf numFmtId="1" fontId="10" fillId="0" borderId="15" xfId="1" applyNumberFormat="1" applyFont="1" applyFill="1" applyBorder="1" applyAlignment="1" applyProtection="1">
      <alignment horizontal="center" vertical="center" wrapText="1"/>
    </xf>
    <xf numFmtId="165" fontId="10" fillId="0" borderId="15" xfId="1" applyNumberFormat="1" applyFont="1" applyFill="1" applyBorder="1" applyAlignment="1" applyProtection="1">
      <alignment horizontal="center" vertical="center" wrapText="1"/>
    </xf>
    <xf numFmtId="165" fontId="10" fillId="0" borderId="15" xfId="1" applyNumberFormat="1" applyFont="1" applyFill="1" applyBorder="1" applyAlignment="1" applyProtection="1">
      <alignment horizontal="left" vertical="center"/>
      <protection locked="0"/>
    </xf>
    <xf numFmtId="43" fontId="10" fillId="0" borderId="15" xfId="1" applyFont="1" applyFill="1" applyBorder="1" applyAlignment="1" applyProtection="1">
      <alignment vertical="center" wrapText="1"/>
      <protection locked="0"/>
    </xf>
    <xf numFmtId="165" fontId="13" fillId="0" borderId="15" xfId="1" applyNumberFormat="1" applyFont="1" applyFill="1" applyBorder="1" applyAlignment="1" applyProtection="1">
      <alignment horizontal="center" vertical="center" wrapText="1"/>
    </xf>
    <xf numFmtId="165" fontId="13" fillId="0" borderId="15" xfId="1" applyNumberFormat="1" applyFont="1" applyFill="1" applyBorder="1" applyAlignment="1">
      <alignment horizontal="center" vertical="center"/>
    </xf>
    <xf numFmtId="165" fontId="10" fillId="2" borderId="15" xfId="1" applyNumberFormat="1" applyFont="1" applyFill="1" applyBorder="1" applyAlignment="1" applyProtection="1">
      <alignment horizontal="left" vertical="center"/>
      <protection locked="0"/>
    </xf>
    <xf numFmtId="165" fontId="13" fillId="2" borderId="15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15" xfId="1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vertical="center"/>
      <protection locked="0"/>
    </xf>
    <xf numFmtId="1" fontId="10" fillId="0" borderId="16" xfId="0" quotePrefix="1" applyNumberFormat="1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1" fontId="10" fillId="0" borderId="16" xfId="1" applyNumberFormat="1" applyFont="1" applyFill="1" applyBorder="1" applyAlignment="1" applyProtection="1">
      <alignment horizontal="left" vertical="center"/>
      <protection locked="0"/>
    </xf>
    <xf numFmtId="1" fontId="10" fillId="0" borderId="16" xfId="1" applyNumberFormat="1" applyFont="1" applyFill="1" applyBorder="1" applyAlignment="1" applyProtection="1">
      <alignment horizontal="center" vertical="center"/>
      <protection locked="0"/>
    </xf>
    <xf numFmtId="1" fontId="10" fillId="0" borderId="17" xfId="1" applyNumberFormat="1" applyFont="1" applyFill="1" applyBorder="1" applyAlignment="1" applyProtection="1">
      <alignment horizontal="center" vertical="center" wrapText="1"/>
    </xf>
    <xf numFmtId="165" fontId="10" fillId="0" borderId="17" xfId="1" applyNumberFormat="1" applyFont="1" applyFill="1" applyBorder="1" applyAlignment="1" applyProtection="1">
      <alignment horizontal="center" vertical="center" wrapText="1"/>
    </xf>
    <xf numFmtId="165" fontId="10" fillId="0" borderId="16" xfId="1" applyNumberFormat="1" applyFont="1" applyFill="1" applyBorder="1" applyAlignment="1" applyProtection="1">
      <alignment horizontal="left" vertical="center"/>
      <protection locked="0"/>
    </xf>
    <xf numFmtId="43" fontId="10" fillId="0" borderId="16" xfId="1" applyFont="1" applyFill="1" applyBorder="1" applyAlignment="1" applyProtection="1">
      <alignment vertical="center" wrapText="1"/>
      <protection locked="0"/>
    </xf>
    <xf numFmtId="165" fontId="13" fillId="0" borderId="16" xfId="1" applyNumberFormat="1" applyFont="1" applyFill="1" applyBorder="1" applyAlignment="1" applyProtection="1">
      <alignment horizontal="center" vertical="center" wrapText="1"/>
    </xf>
    <xf numFmtId="165" fontId="13" fillId="0" borderId="16" xfId="1" applyNumberFormat="1" applyFont="1" applyFill="1" applyBorder="1" applyAlignment="1">
      <alignment horizontal="center" vertical="center"/>
    </xf>
    <xf numFmtId="165" fontId="10" fillId="2" borderId="16" xfId="1" applyNumberFormat="1" applyFont="1" applyFill="1" applyBorder="1" applyAlignment="1" applyProtection="1">
      <alignment horizontal="left" vertical="center"/>
      <protection locked="0"/>
    </xf>
    <xf numFmtId="165" fontId="13" fillId="2" borderId="16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16" xfId="1" applyNumberFormat="1" applyFont="1" applyFill="1" applyBorder="1" applyAlignment="1" applyProtection="1">
      <alignment horizontal="center" vertical="center"/>
      <protection locked="0"/>
    </xf>
    <xf numFmtId="1" fontId="10" fillId="0" borderId="18" xfId="0" quotePrefix="1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1" fontId="10" fillId="0" borderId="18" xfId="1" applyNumberFormat="1" applyFont="1" applyFill="1" applyBorder="1" applyAlignment="1" applyProtection="1">
      <alignment horizontal="left" vertical="center"/>
      <protection locked="0"/>
    </xf>
    <xf numFmtId="1" fontId="10" fillId="0" borderId="18" xfId="1" applyNumberFormat="1" applyFont="1" applyFill="1" applyBorder="1" applyAlignment="1" applyProtection="1">
      <alignment horizontal="center" vertical="center"/>
      <protection locked="0"/>
    </xf>
    <xf numFmtId="1" fontId="10" fillId="0" borderId="7" xfId="1" applyNumberFormat="1" applyFont="1" applyFill="1" applyBorder="1" applyAlignment="1" applyProtection="1">
      <alignment horizontal="center" vertical="center" wrapText="1"/>
    </xf>
    <xf numFmtId="165" fontId="10" fillId="0" borderId="7" xfId="1" applyNumberFormat="1" applyFont="1" applyFill="1" applyBorder="1" applyAlignment="1" applyProtection="1">
      <alignment horizontal="center" vertical="center" wrapText="1"/>
    </xf>
    <xf numFmtId="165" fontId="10" fillId="0" borderId="18" xfId="1" applyNumberFormat="1" applyFont="1" applyFill="1" applyBorder="1" applyAlignment="1" applyProtection="1">
      <alignment horizontal="left" vertical="center"/>
      <protection locked="0"/>
    </xf>
    <xf numFmtId="43" fontId="10" fillId="0" borderId="18" xfId="1" applyFont="1" applyFill="1" applyBorder="1" applyAlignment="1" applyProtection="1">
      <alignment vertical="center" wrapText="1"/>
      <protection locked="0"/>
    </xf>
    <xf numFmtId="165" fontId="13" fillId="0" borderId="18" xfId="1" applyNumberFormat="1" applyFont="1" applyFill="1" applyBorder="1" applyAlignment="1" applyProtection="1">
      <alignment horizontal="center" vertical="center" wrapText="1"/>
    </xf>
    <xf numFmtId="165" fontId="13" fillId="0" borderId="18" xfId="1" applyNumberFormat="1" applyFont="1" applyFill="1" applyBorder="1" applyAlignment="1">
      <alignment horizontal="center" vertical="center"/>
    </xf>
    <xf numFmtId="165" fontId="10" fillId="2" borderId="18" xfId="1" applyNumberFormat="1" applyFont="1" applyFill="1" applyBorder="1" applyAlignment="1" applyProtection="1">
      <alignment horizontal="left" vertical="center"/>
      <protection locked="0"/>
    </xf>
    <xf numFmtId="165" fontId="10" fillId="0" borderId="18" xfId="1" applyNumberFormat="1" applyFont="1" applyFill="1" applyBorder="1" applyAlignment="1" applyProtection="1">
      <alignment horizontal="center" vertical="center"/>
      <protection locked="0"/>
    </xf>
    <xf numFmtId="165" fontId="13" fillId="3" borderId="7" xfId="1" applyNumberFormat="1" applyFont="1" applyFill="1" applyBorder="1" applyAlignment="1" applyProtection="1">
      <alignment horizontal="center" vertical="center"/>
      <protection locked="0"/>
    </xf>
    <xf numFmtId="1" fontId="13" fillId="3" borderId="7" xfId="1" applyNumberFormat="1" applyFont="1" applyFill="1" applyBorder="1" applyAlignment="1" applyProtection="1">
      <alignment horizontal="center" vertical="center"/>
      <protection locked="0"/>
    </xf>
    <xf numFmtId="1" fontId="19" fillId="2" borderId="19" xfId="0" quotePrefix="1" applyNumberFormat="1" applyFont="1" applyFill="1" applyBorder="1" applyAlignment="1" applyProtection="1">
      <alignment vertical="center"/>
      <protection locked="0"/>
    </xf>
    <xf numFmtId="1" fontId="19" fillId="2" borderId="0" xfId="0" quotePrefix="1" applyNumberFormat="1" applyFont="1" applyFill="1" applyAlignment="1" applyProtection="1">
      <alignment vertical="center"/>
      <protection locked="0"/>
    </xf>
    <xf numFmtId="1" fontId="19" fillId="2" borderId="20" xfId="0" quotePrefix="1" applyNumberFormat="1" applyFont="1" applyFill="1" applyBorder="1" applyAlignment="1" applyProtection="1">
      <alignment vertical="center"/>
      <protection locked="0"/>
    </xf>
    <xf numFmtId="1" fontId="10" fillId="0" borderId="21" xfId="0" quotePrefix="1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165" fontId="10" fillId="0" borderId="21" xfId="1" applyNumberFormat="1" applyFont="1" applyFill="1" applyBorder="1" applyAlignment="1" applyProtection="1">
      <alignment horizontal="left" vertical="center"/>
      <protection locked="0"/>
    </xf>
    <xf numFmtId="165" fontId="10" fillId="2" borderId="21" xfId="1" applyNumberFormat="1" applyFont="1" applyFill="1" applyBorder="1" applyAlignment="1" applyProtection="1">
      <alignment horizontal="left" vertical="center"/>
      <protection locked="0"/>
    </xf>
    <xf numFmtId="1" fontId="10" fillId="0" borderId="22" xfId="0" quotePrefix="1" applyNumberFormat="1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1" fontId="10" fillId="0" borderId="23" xfId="1" applyNumberFormat="1" applyFont="1" applyFill="1" applyBorder="1" applyAlignment="1" applyProtection="1">
      <alignment horizontal="center" vertical="center" wrapText="1"/>
    </xf>
    <xf numFmtId="165" fontId="10" fillId="0" borderId="23" xfId="1" applyNumberFormat="1" applyFont="1" applyFill="1" applyBorder="1" applyAlignment="1" applyProtection="1">
      <alignment horizontal="center" vertical="center" wrapText="1"/>
    </xf>
    <xf numFmtId="165" fontId="10" fillId="0" borderId="22" xfId="1" applyNumberFormat="1" applyFont="1" applyFill="1" applyBorder="1" applyAlignment="1" applyProtection="1">
      <alignment horizontal="left" vertical="center"/>
      <protection locked="0"/>
    </xf>
    <xf numFmtId="1" fontId="13" fillId="3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1" fontId="13" fillId="3" borderId="14" xfId="1" applyNumberFormat="1" applyFont="1" applyFill="1" applyBorder="1" applyAlignment="1" applyProtection="1">
      <alignment horizontal="left" vertical="center"/>
      <protection locked="0"/>
    </xf>
    <xf numFmtId="1" fontId="13" fillId="3" borderId="14" xfId="1" applyNumberFormat="1" applyFont="1" applyFill="1" applyBorder="1" applyAlignment="1" applyProtection="1">
      <alignment horizontal="center" vertical="center"/>
      <protection locked="0"/>
    </xf>
    <xf numFmtId="167" fontId="13" fillId="3" borderId="14" xfId="1" applyNumberFormat="1" applyFont="1" applyFill="1" applyBorder="1" applyAlignment="1" applyProtection="1">
      <alignment horizontal="center" vertical="center"/>
      <protection locked="0"/>
    </xf>
    <xf numFmtId="165" fontId="13" fillId="3" borderId="14" xfId="1" applyNumberFormat="1" applyFont="1" applyFill="1" applyBorder="1" applyAlignment="1" applyProtection="1">
      <alignment horizontal="center" vertical="center" wrapText="1"/>
    </xf>
    <xf numFmtId="165" fontId="13" fillId="3" borderId="6" xfId="1" applyNumberFormat="1" applyFont="1" applyFill="1" applyBorder="1" applyAlignment="1" applyProtection="1">
      <alignment horizontal="left" vertical="center"/>
      <protection locked="0"/>
    </xf>
    <xf numFmtId="1" fontId="10" fillId="0" borderId="6" xfId="0" quotePrefix="1" applyNumberFormat="1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" fontId="10" fillId="0" borderId="6" xfId="1" applyNumberFormat="1" applyFont="1" applyFill="1" applyBorder="1" applyAlignment="1" applyProtection="1">
      <alignment horizontal="left" vertical="center"/>
      <protection locked="0"/>
    </xf>
    <xf numFmtId="1" fontId="10" fillId="0" borderId="6" xfId="1" applyNumberFormat="1" applyFont="1" applyFill="1" applyBorder="1" applyAlignment="1" applyProtection="1">
      <alignment horizontal="center" vertical="center"/>
      <protection locked="0"/>
    </xf>
    <xf numFmtId="1" fontId="10" fillId="0" borderId="6" xfId="1" applyNumberFormat="1" applyFont="1" applyFill="1" applyBorder="1" applyAlignment="1" applyProtection="1">
      <alignment horizontal="center" vertical="center" wrapText="1"/>
    </xf>
    <xf numFmtId="1" fontId="13" fillId="3" borderId="6" xfId="1" applyNumberFormat="1" applyFont="1" applyFill="1" applyBorder="1" applyAlignment="1" applyProtection="1">
      <alignment horizontal="center" vertical="center"/>
      <protection locked="0"/>
    </xf>
    <xf numFmtId="165" fontId="13" fillId="3" borderId="6" xfId="1" applyNumberFormat="1" applyFont="1" applyFill="1" applyBorder="1" applyAlignment="1" applyProtection="1">
      <alignment horizontal="center" vertical="center"/>
      <protection locked="0"/>
    </xf>
    <xf numFmtId="1" fontId="10" fillId="0" borderId="16" xfId="1" applyNumberFormat="1" applyFont="1" applyFill="1" applyBorder="1" applyAlignment="1" applyProtection="1">
      <alignment horizontal="center" vertical="center" wrapText="1"/>
      <protection locked="0"/>
    </xf>
    <xf numFmtId="1" fontId="19" fillId="2" borderId="24" xfId="0" quotePrefix="1" applyNumberFormat="1" applyFont="1" applyFill="1" applyBorder="1" applyAlignment="1" applyProtection="1">
      <alignment vertical="center"/>
      <protection locked="0"/>
    </xf>
    <xf numFmtId="1" fontId="19" fillId="2" borderId="1" xfId="0" quotePrefix="1" applyNumberFormat="1" applyFont="1" applyFill="1" applyBorder="1" applyAlignment="1" applyProtection="1">
      <alignment vertical="center"/>
      <protection locked="0"/>
    </xf>
    <xf numFmtId="1" fontId="19" fillId="2" borderId="25" xfId="0" quotePrefix="1" applyNumberFormat="1" applyFont="1" applyFill="1" applyBorder="1" applyAlignment="1" applyProtection="1">
      <alignment vertical="center"/>
      <protection locked="0"/>
    </xf>
    <xf numFmtId="1" fontId="19" fillId="2" borderId="26" xfId="0" quotePrefix="1" applyNumberFormat="1" applyFont="1" applyFill="1" applyBorder="1" applyAlignment="1" applyProtection="1">
      <alignment vertical="center"/>
      <protection locked="0"/>
    </xf>
    <xf numFmtId="1" fontId="19" fillId="2" borderId="27" xfId="0" quotePrefix="1" applyNumberFormat="1" applyFont="1" applyFill="1" applyBorder="1" applyAlignment="1" applyProtection="1">
      <alignment vertical="center"/>
      <protection locked="0"/>
    </xf>
    <xf numFmtId="43" fontId="14" fillId="2" borderId="0" xfId="0" applyNumberFormat="1" applyFont="1" applyFill="1" applyAlignment="1">
      <alignment horizontal="center" vertical="center"/>
    </xf>
    <xf numFmtId="43" fontId="14" fillId="2" borderId="0" xfId="0" applyNumberFormat="1" applyFont="1" applyFill="1" applyAlignment="1">
      <alignment vertical="center"/>
    </xf>
    <xf numFmtId="43" fontId="23" fillId="2" borderId="0" xfId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horizontal="center" vertical="center"/>
    </xf>
    <xf numFmtId="43" fontId="10" fillId="2" borderId="0" xfId="0" applyNumberFormat="1" applyFont="1" applyFill="1" applyAlignment="1">
      <alignment vertical="center"/>
    </xf>
    <xf numFmtId="165" fontId="24" fillId="2" borderId="0" xfId="1" applyNumberFormat="1" applyFont="1" applyFill="1" applyBorder="1" applyAlignment="1">
      <alignment horizontal="center" vertical="center"/>
    </xf>
    <xf numFmtId="165" fontId="24" fillId="2" borderId="0" xfId="1" applyNumberFormat="1" applyFont="1" applyFill="1" applyBorder="1" applyAlignment="1">
      <alignment vertical="center"/>
    </xf>
    <xf numFmtId="43" fontId="13" fillId="2" borderId="0" xfId="0" applyNumberFormat="1" applyFont="1" applyFill="1" applyAlignment="1">
      <alignment vertical="center"/>
    </xf>
    <xf numFmtId="165" fontId="9" fillId="2" borderId="0" xfId="1" applyNumberFormat="1" applyFont="1" applyFill="1" applyBorder="1" applyAlignment="1">
      <alignment vertical="center"/>
    </xf>
    <xf numFmtId="43" fontId="21" fillId="2" borderId="0" xfId="0" applyNumberFormat="1" applyFont="1" applyFill="1" applyAlignment="1">
      <alignment vertical="center"/>
    </xf>
    <xf numFmtId="1" fontId="10" fillId="0" borderId="6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0" xfId="0" quotePrefix="1" applyNumberFormat="1" applyFont="1" applyFill="1" applyAlignment="1" applyProtection="1">
      <alignment horizontal="center" vertical="center" wrapText="1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1" fontId="13" fillId="2" borderId="0" xfId="1" applyNumberFormat="1" applyFont="1" applyFill="1" applyBorder="1" applyAlignment="1" applyProtection="1">
      <alignment horizontal="left" vertical="center"/>
      <protection locked="0"/>
    </xf>
    <xf numFmtId="1" fontId="13" fillId="2" borderId="0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0" xfId="1" applyNumberFormat="1" applyFont="1" applyFill="1" applyBorder="1" applyAlignment="1" applyProtection="1">
      <alignment horizontal="center" vertical="center"/>
      <protection locked="0"/>
    </xf>
    <xf numFmtId="167" fontId="13" fillId="2" borderId="0" xfId="1" applyNumberFormat="1" applyFont="1" applyFill="1" applyBorder="1" applyAlignment="1" applyProtection="1">
      <alignment horizontal="center" vertical="center"/>
      <protection locked="0"/>
    </xf>
    <xf numFmtId="165" fontId="13" fillId="2" borderId="0" xfId="1" applyNumberFormat="1" applyFont="1" applyFill="1" applyBorder="1" applyAlignment="1" applyProtection="1">
      <alignment horizontal="center" vertical="center" wrapText="1"/>
    </xf>
    <xf numFmtId="1" fontId="13" fillId="2" borderId="0" xfId="1" applyNumberFormat="1" applyFont="1" applyFill="1" applyBorder="1" applyAlignment="1" applyProtection="1">
      <alignment horizontal="center" vertical="center" wrapText="1"/>
    </xf>
    <xf numFmtId="165" fontId="13" fillId="2" borderId="0" xfId="1" applyNumberFormat="1" applyFont="1" applyFill="1" applyBorder="1" applyAlignment="1" applyProtection="1">
      <alignment horizontal="left" vertical="center"/>
      <protection locked="0"/>
    </xf>
    <xf numFmtId="1" fontId="13" fillId="2" borderId="0" xfId="0" applyNumberFormat="1" applyFont="1" applyFill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vertical="center"/>
      <protection locked="0"/>
    </xf>
    <xf numFmtId="43" fontId="14" fillId="2" borderId="0" xfId="0" applyNumberFormat="1" applyFont="1" applyFill="1" applyAlignment="1">
      <alignment horizontal="center" vertical="center" wrapText="1"/>
    </xf>
    <xf numFmtId="165" fontId="9" fillId="2" borderId="28" xfId="1" applyNumberFormat="1" applyFont="1" applyFill="1" applyBorder="1" applyAlignment="1">
      <alignment vertical="center"/>
    </xf>
    <xf numFmtId="43" fontId="25" fillId="2" borderId="0" xfId="0" applyNumberFormat="1" applyFont="1" applyFill="1" applyAlignment="1">
      <alignment horizontal="center" vertical="center"/>
    </xf>
    <xf numFmtId="43" fontId="26" fillId="2" borderId="0" xfId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43" fontId="14" fillId="0" borderId="0" xfId="0" applyNumberFormat="1" applyFont="1" applyAlignment="1">
      <alignment horizontal="center" vertical="center"/>
    </xf>
    <xf numFmtId="43" fontId="14" fillId="0" borderId="0" xfId="0" applyNumberFormat="1" applyFont="1" applyAlignment="1">
      <alignment vertical="center"/>
    </xf>
    <xf numFmtId="43" fontId="14" fillId="0" borderId="0" xfId="0" applyNumberFormat="1" applyFont="1" applyAlignment="1">
      <alignment horizontal="center" vertical="center" wrapText="1"/>
    </xf>
    <xf numFmtId="165" fontId="23" fillId="0" borderId="0" xfId="1" applyNumberFormat="1" applyFont="1" applyFill="1" applyBorder="1" applyAlignment="1">
      <alignment horizontal="center" vertical="center"/>
    </xf>
    <xf numFmtId="43" fontId="23" fillId="0" borderId="0" xfId="1" applyFont="1" applyFill="1" applyBorder="1" applyAlignment="1">
      <alignment horizontal="center" vertical="center"/>
    </xf>
    <xf numFmtId="43" fontId="25" fillId="0" borderId="0" xfId="0" applyNumberFormat="1" applyFont="1" applyAlignment="1">
      <alignment horizontal="center" vertical="center"/>
    </xf>
    <xf numFmtId="43" fontId="21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165" fontId="16" fillId="0" borderId="0" xfId="1" applyNumberFormat="1" applyFont="1" applyFill="1" applyBorder="1" applyAlignment="1">
      <alignment horizontal="center" vertical="center"/>
    </xf>
    <xf numFmtId="165" fontId="16" fillId="0" borderId="0" xfId="1" applyNumberFormat="1" applyFont="1" applyFill="1" applyBorder="1" applyAlignment="1">
      <alignment vertical="center"/>
    </xf>
    <xf numFmtId="43" fontId="16" fillId="0" borderId="0" xfId="1" applyFont="1" applyFill="1" applyBorder="1" applyAlignment="1">
      <alignment horizontal="center" vertical="center"/>
    </xf>
    <xf numFmtId="43" fontId="22" fillId="0" borderId="0" xfId="1" applyFont="1" applyFill="1" applyBorder="1" applyAlignment="1">
      <alignment horizontal="center" vertical="center"/>
    </xf>
    <xf numFmtId="43" fontId="22" fillId="0" borderId="0" xfId="1" applyFont="1" applyFill="1" applyBorder="1" applyAlignment="1">
      <alignment vertical="center"/>
    </xf>
    <xf numFmtId="165" fontId="21" fillId="0" borderId="0" xfId="1" applyNumberFormat="1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165" fontId="27" fillId="0" borderId="0" xfId="1" applyNumberFormat="1" applyFont="1" applyFill="1" applyBorder="1" applyAlignment="1">
      <alignment horizontal="center" vertical="center"/>
    </xf>
    <xf numFmtId="165" fontId="27" fillId="0" borderId="0" xfId="1" applyNumberFormat="1" applyFont="1" applyFill="1" applyBorder="1" applyAlignment="1">
      <alignment vertical="center"/>
    </xf>
    <xf numFmtId="43" fontId="27" fillId="0" borderId="0" xfId="1" applyFont="1" applyFill="1" applyBorder="1" applyAlignment="1">
      <alignment horizontal="center" vertical="center"/>
    </xf>
    <xf numFmtId="43" fontId="17" fillId="0" borderId="0" xfId="1" applyFont="1" applyFill="1" applyBorder="1" applyAlignment="1">
      <alignment horizontal="center" vertical="center"/>
    </xf>
    <xf numFmtId="43" fontId="17" fillId="0" borderId="0" xfId="1" applyFont="1" applyFill="1" applyBorder="1" applyAlignment="1">
      <alignment vertical="center"/>
    </xf>
    <xf numFmtId="0" fontId="27" fillId="2" borderId="0" xfId="0" applyFont="1" applyFill="1" applyAlignment="1">
      <alignment vertical="center"/>
    </xf>
    <xf numFmtId="43" fontId="16" fillId="0" borderId="0" xfId="0" applyNumberFormat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0" fontId="27" fillId="0" borderId="0" xfId="0" applyFont="1" applyAlignment="1">
      <alignment horizontal="right" vertical="center"/>
    </xf>
    <xf numFmtId="43" fontId="27" fillId="0" borderId="0" xfId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1" fontId="4" fillId="0" borderId="0" xfId="0" applyNumberFormat="1" applyFont="1" applyAlignment="1">
      <alignment horizontal="left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65" fontId="13" fillId="2" borderId="0" xfId="1" applyNumberFormat="1" applyFont="1" applyFill="1" applyBorder="1" applyAlignment="1" applyProtection="1">
      <alignment horizontal="center" vertical="center" wrapText="1"/>
      <protection locked="0"/>
    </xf>
    <xf numFmtId="165" fontId="21" fillId="2" borderId="0" xfId="0" applyNumberFormat="1" applyFont="1" applyFill="1" applyAlignment="1" applyProtection="1">
      <alignment vertical="center"/>
      <protection locked="0"/>
    </xf>
    <xf numFmtId="167" fontId="10" fillId="0" borderId="6" xfId="1" applyNumberFormat="1" applyFont="1" applyFill="1" applyBorder="1" applyAlignment="1" applyProtection="1">
      <alignment horizontal="center" vertical="center"/>
      <protection locked="0"/>
    </xf>
    <xf numFmtId="165" fontId="10" fillId="0" borderId="6" xfId="1" applyNumberFormat="1" applyFont="1" applyFill="1" applyBorder="1" applyAlignment="1" applyProtection="1">
      <alignment horizontal="center" vertical="center" wrapText="1"/>
    </xf>
    <xf numFmtId="165" fontId="10" fillId="0" borderId="17" xfId="1" applyNumberFormat="1" applyFont="1" applyFill="1" applyBorder="1" applyAlignment="1" applyProtection="1">
      <alignment horizontal="left" vertical="center"/>
      <protection locked="0"/>
    </xf>
    <xf numFmtId="43" fontId="10" fillId="0" borderId="17" xfId="1" applyFont="1" applyFill="1" applyBorder="1" applyAlignment="1" applyProtection="1">
      <alignment vertical="center" wrapText="1"/>
      <protection locked="0"/>
    </xf>
    <xf numFmtId="165" fontId="13" fillId="0" borderId="17" xfId="1" applyNumberFormat="1" applyFont="1" applyFill="1" applyBorder="1" applyAlignment="1" applyProtection="1">
      <alignment horizontal="center" vertical="center" wrapText="1"/>
    </xf>
    <xf numFmtId="165" fontId="10" fillId="0" borderId="17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17" xfId="1" applyNumberFormat="1" applyFont="1" applyFill="1" applyBorder="1" applyAlignment="1">
      <alignment horizontal="center" vertical="center"/>
    </xf>
    <xf numFmtId="165" fontId="13" fillId="0" borderId="17" xfId="1" applyNumberFormat="1" applyFont="1" applyFill="1" applyBorder="1" applyAlignment="1">
      <alignment horizontal="center" vertical="center"/>
    </xf>
    <xf numFmtId="165" fontId="10" fillId="2" borderId="17" xfId="1" applyNumberFormat="1" applyFont="1" applyFill="1" applyBorder="1" applyAlignment="1" applyProtection="1">
      <alignment horizontal="left" vertical="center"/>
      <protection locked="0"/>
    </xf>
    <xf numFmtId="165" fontId="13" fillId="2" borderId="17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17" xfId="1" applyNumberFormat="1" applyFon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1" fontId="10" fillId="0" borderId="17" xfId="1" applyNumberFormat="1" applyFont="1" applyFill="1" applyBorder="1" applyAlignment="1" applyProtection="1">
      <alignment horizontal="center" vertical="center"/>
      <protection locked="0"/>
    </xf>
    <xf numFmtId="165" fontId="13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1" fillId="0" borderId="0" xfId="0" applyNumberFormat="1" applyFont="1" applyAlignment="1" applyProtection="1">
      <alignment vertical="center"/>
      <protection locked="0"/>
    </xf>
    <xf numFmtId="1" fontId="13" fillId="3" borderId="0" xfId="1" applyNumberFormat="1" applyFont="1" applyFill="1" applyBorder="1" applyAlignment="1" applyProtection="1">
      <alignment horizontal="center" vertical="center"/>
      <protection locked="0"/>
    </xf>
    <xf numFmtId="165" fontId="14" fillId="0" borderId="0" xfId="0" applyNumberFormat="1" applyFont="1" applyAlignment="1" applyProtection="1">
      <alignment vertical="center"/>
      <protection locked="0"/>
    </xf>
    <xf numFmtId="1" fontId="10" fillId="2" borderId="0" xfId="0" quotePrefix="1" applyNumberFormat="1" applyFont="1" applyFill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1" fontId="10" fillId="2" borderId="0" xfId="1" applyNumberFormat="1" applyFont="1" applyFill="1" applyBorder="1" applyAlignment="1" applyProtection="1">
      <alignment horizontal="left" vertical="center"/>
      <protection locked="0"/>
    </xf>
    <xf numFmtId="1" fontId="10" fillId="2" borderId="0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0" xfId="1" applyNumberFormat="1" applyFont="1" applyFill="1" applyBorder="1" applyAlignment="1" applyProtection="1">
      <alignment horizontal="center" vertical="center"/>
      <protection locked="0"/>
    </xf>
    <xf numFmtId="167" fontId="10" fillId="2" borderId="0" xfId="1" applyNumberFormat="1" applyFont="1" applyFill="1" applyBorder="1" applyAlignment="1" applyProtection="1">
      <alignment horizontal="center" vertical="center"/>
      <protection locked="0"/>
    </xf>
    <xf numFmtId="165" fontId="10" fillId="2" borderId="0" xfId="1" applyNumberFormat="1" applyFont="1" applyFill="1" applyBorder="1" applyAlignment="1" applyProtection="1">
      <alignment horizontal="center" vertical="center" wrapText="1"/>
    </xf>
    <xf numFmtId="1" fontId="10" fillId="2" borderId="0" xfId="1" applyNumberFormat="1" applyFont="1" applyFill="1" applyBorder="1" applyAlignment="1" applyProtection="1">
      <alignment horizontal="center" vertical="center" wrapText="1"/>
    </xf>
    <xf numFmtId="165" fontId="10" fillId="2" borderId="0" xfId="1" applyNumberFormat="1" applyFont="1" applyFill="1" applyBorder="1" applyAlignment="1" applyProtection="1">
      <alignment horizontal="left" vertical="center"/>
      <protection locked="0"/>
    </xf>
    <xf numFmtId="43" fontId="10" fillId="2" borderId="0" xfId="1" applyFont="1" applyFill="1" applyBorder="1" applyAlignment="1" applyProtection="1">
      <alignment vertical="center" wrapText="1"/>
      <protection locked="0"/>
    </xf>
    <xf numFmtId="165" fontId="10" fillId="2" borderId="0" xfId="1" applyNumberFormat="1" applyFont="1" applyFill="1" applyBorder="1" applyAlignment="1" applyProtection="1">
      <alignment horizontal="center" vertical="center" wrapText="1"/>
      <protection locked="0"/>
    </xf>
    <xf numFmtId="165" fontId="10" fillId="2" borderId="0" xfId="1" applyNumberFormat="1" applyFont="1" applyFill="1" applyBorder="1" applyAlignment="1">
      <alignment horizontal="center" vertical="center"/>
    </xf>
    <xf numFmtId="165" fontId="13" fillId="2" borderId="0" xfId="1" applyNumberFormat="1" applyFont="1" applyFill="1" applyBorder="1" applyAlignment="1">
      <alignment horizontal="center" vertical="center"/>
    </xf>
    <xf numFmtId="165" fontId="10" fillId="2" borderId="0" xfId="1" applyNumberFormat="1" applyFont="1" applyFill="1" applyBorder="1" applyAlignment="1" applyProtection="1">
      <alignment vertical="center" wrapText="1"/>
      <protection locked="0"/>
    </xf>
    <xf numFmtId="165" fontId="10" fillId="2" borderId="0" xfId="1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1" fontId="13" fillId="2" borderId="29" xfId="1" applyNumberFormat="1" applyFont="1" applyFill="1" applyBorder="1" applyAlignment="1" applyProtection="1">
      <alignment horizontal="center" vertical="center" wrapText="1"/>
    </xf>
    <xf numFmtId="165" fontId="10" fillId="2" borderId="29" xfId="1" applyNumberFormat="1" applyFont="1" applyFill="1" applyBorder="1" applyAlignment="1" applyProtection="1">
      <alignment horizontal="left" vertical="center"/>
      <protection locked="0"/>
    </xf>
    <xf numFmtId="165" fontId="13" fillId="2" borderId="29" xfId="1" applyNumberFormat="1" applyFont="1" applyFill="1" applyBorder="1" applyAlignment="1" applyProtection="1">
      <alignment horizontal="left" vertical="center"/>
      <protection locked="0"/>
    </xf>
    <xf numFmtId="1" fontId="13" fillId="2" borderId="29" xfId="0" applyNumberFormat="1" applyFont="1" applyFill="1" applyBorder="1" applyAlignment="1" applyProtection="1">
      <alignment horizontal="center" vertical="center"/>
      <protection locked="0"/>
    </xf>
    <xf numFmtId="0" fontId="13" fillId="2" borderId="29" xfId="0" applyFont="1" applyFill="1" applyBorder="1" applyAlignment="1" applyProtection="1">
      <alignment horizontal="center" vertical="center"/>
      <protection locked="0"/>
    </xf>
    <xf numFmtId="1" fontId="13" fillId="2" borderId="29" xfId="1" applyNumberFormat="1" applyFont="1" applyFill="1" applyBorder="1" applyAlignment="1" applyProtection="1">
      <alignment horizontal="center" vertical="center"/>
      <protection locked="0"/>
    </xf>
    <xf numFmtId="165" fontId="14" fillId="2" borderId="0" xfId="0" applyNumberFormat="1" applyFont="1" applyFill="1" applyAlignment="1" applyProtection="1">
      <alignment vertical="center"/>
      <protection locked="0"/>
    </xf>
    <xf numFmtId="1" fontId="13" fillId="2" borderId="30" xfId="1" applyNumberFormat="1" applyFont="1" applyFill="1" applyBorder="1" applyAlignment="1" applyProtection="1">
      <alignment horizontal="center" vertical="center" wrapText="1"/>
    </xf>
    <xf numFmtId="165" fontId="10" fillId="2" borderId="30" xfId="1" applyNumberFormat="1" applyFont="1" applyFill="1" applyBorder="1" applyAlignment="1" applyProtection="1">
      <alignment horizontal="left" vertical="center"/>
      <protection locked="0"/>
    </xf>
    <xf numFmtId="165" fontId="13" fillId="2" borderId="30" xfId="1" applyNumberFormat="1" applyFont="1" applyFill="1" applyBorder="1" applyAlignment="1" applyProtection="1">
      <alignment horizontal="left" vertical="center"/>
      <protection locked="0"/>
    </xf>
    <xf numFmtId="1" fontId="13" fillId="2" borderId="30" xfId="0" applyNumberFormat="1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 vertical="center"/>
      <protection locked="0"/>
    </xf>
    <xf numFmtId="1" fontId="13" fillId="2" borderId="30" xfId="1" applyNumberFormat="1" applyFont="1" applyFill="1" applyBorder="1" applyAlignment="1" applyProtection="1">
      <alignment horizontal="center" vertical="center"/>
      <protection locked="0"/>
    </xf>
    <xf numFmtId="1" fontId="13" fillId="2" borderId="6" xfId="1" applyNumberFormat="1" applyFont="1" applyFill="1" applyBorder="1" applyAlignment="1" applyProtection="1">
      <alignment horizontal="center" vertical="center" wrapText="1"/>
    </xf>
    <xf numFmtId="165" fontId="13" fillId="2" borderId="6" xfId="1" applyNumberFormat="1" applyFont="1" applyFill="1" applyBorder="1" applyAlignment="1" applyProtection="1">
      <alignment horizontal="left" vertical="center"/>
      <protection locked="0"/>
    </xf>
    <xf numFmtId="1" fontId="13" fillId="2" borderId="6" xfId="0" applyNumberFormat="1" applyFont="1" applyFill="1" applyBorder="1" applyAlignment="1" applyProtection="1">
      <alignment horizontal="center" vertical="center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1" fontId="13" fillId="2" borderId="6" xfId="1" applyNumberFormat="1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164" fontId="23" fillId="2" borderId="0" xfId="1" applyNumberFormat="1" applyFont="1" applyFill="1" applyBorder="1" applyAlignment="1">
      <alignment horizontal="center" vertical="center"/>
    </xf>
    <xf numFmtId="43" fontId="29" fillId="2" borderId="0" xfId="0" applyNumberFormat="1" applyFont="1" applyFill="1" applyAlignment="1">
      <alignment vertical="center"/>
    </xf>
    <xf numFmtId="165" fontId="24" fillId="2" borderId="0" xfId="1" applyNumberFormat="1" applyFont="1" applyFill="1" applyBorder="1" applyAlignment="1">
      <alignment horizontal="right" vertical="center"/>
    </xf>
    <xf numFmtId="43" fontId="12" fillId="2" borderId="0" xfId="1" applyFont="1" applyFill="1" applyAlignment="1">
      <alignment vertical="center"/>
    </xf>
    <xf numFmtId="9" fontId="13" fillId="2" borderId="0" xfId="2" applyFont="1" applyFill="1" applyBorder="1" applyAlignment="1">
      <alignment horizontal="center" vertical="center"/>
    </xf>
    <xf numFmtId="164" fontId="12" fillId="2" borderId="0" xfId="1" applyNumberFormat="1" applyFont="1" applyFill="1" applyBorder="1" applyAlignment="1">
      <alignment vertical="center"/>
    </xf>
    <xf numFmtId="43" fontId="25" fillId="2" borderId="0" xfId="0" applyNumberFormat="1" applyFont="1" applyFill="1" applyAlignment="1">
      <alignment vertical="center"/>
    </xf>
    <xf numFmtId="43" fontId="25" fillId="0" borderId="0" xfId="0" applyNumberFormat="1" applyFont="1" applyAlignment="1">
      <alignment vertical="center"/>
    </xf>
    <xf numFmtId="0" fontId="40" fillId="2" borderId="6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 applyProtection="1">
      <alignment vertical="center"/>
      <protection locked="0"/>
    </xf>
    <xf numFmtId="165" fontId="19" fillId="2" borderId="1" xfId="1" quotePrefix="1" applyNumberFormat="1" applyFont="1" applyFill="1" applyBorder="1" applyAlignment="1" applyProtection="1">
      <alignment vertical="center"/>
      <protection locked="0"/>
    </xf>
    <xf numFmtId="165" fontId="13" fillId="2" borderId="0" xfId="1" applyNumberFormat="1" applyFont="1" applyFill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" fontId="9" fillId="3" borderId="6" xfId="0" applyNumberFormat="1" applyFont="1" applyFill="1" applyBorder="1" applyAlignment="1">
      <alignment horizontal="center" vertical="center" textRotation="90" wrapText="1"/>
    </xf>
    <xf numFmtId="1" fontId="10" fillId="2" borderId="16" xfId="0" quotePrefix="1" applyNumberFormat="1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1" fontId="10" fillId="2" borderId="16" xfId="1" applyNumberFormat="1" applyFont="1" applyFill="1" applyBorder="1" applyAlignment="1" applyProtection="1">
      <alignment horizontal="left" vertical="center"/>
      <protection locked="0"/>
    </xf>
    <xf numFmtId="1" fontId="10" fillId="2" borderId="16" xfId="1" applyNumberFormat="1" applyFont="1" applyFill="1" applyBorder="1" applyAlignment="1" applyProtection="1">
      <alignment horizontal="center" vertical="center"/>
      <protection locked="0"/>
    </xf>
    <xf numFmtId="1" fontId="10" fillId="2" borderId="17" xfId="1" applyNumberFormat="1" applyFont="1" applyFill="1" applyBorder="1" applyAlignment="1" applyProtection="1">
      <alignment horizontal="center" vertical="center" wrapText="1"/>
    </xf>
    <xf numFmtId="165" fontId="10" fillId="2" borderId="17" xfId="1" applyNumberFormat="1" applyFont="1" applyFill="1" applyBorder="1" applyAlignment="1" applyProtection="1">
      <alignment horizontal="center" vertical="center" wrapText="1"/>
    </xf>
    <xf numFmtId="43" fontId="10" fillId="2" borderId="16" xfId="1" applyFont="1" applyFill="1" applyBorder="1" applyAlignment="1" applyProtection="1">
      <alignment vertical="center" wrapText="1"/>
      <protection locked="0"/>
    </xf>
    <xf numFmtId="165" fontId="13" fillId="2" borderId="16" xfId="1" applyNumberFormat="1" applyFont="1" applyFill="1" applyBorder="1" applyAlignment="1" applyProtection="1">
      <alignment horizontal="center" vertical="center" wrapText="1"/>
    </xf>
    <xf numFmtId="165" fontId="10" fillId="2" borderId="16" xfId="1" applyNumberFormat="1" applyFont="1" applyFill="1" applyBorder="1" applyAlignment="1" applyProtection="1">
      <alignment horizontal="center" vertical="center" wrapText="1"/>
      <protection locked="0"/>
    </xf>
    <xf numFmtId="165" fontId="10" fillId="2" borderId="16" xfId="1" applyNumberFormat="1" applyFont="1" applyFill="1" applyBorder="1" applyAlignment="1">
      <alignment horizontal="center" vertical="center"/>
    </xf>
    <xf numFmtId="165" fontId="13" fillId="2" borderId="16" xfId="1" applyNumberFormat="1" applyFont="1" applyFill="1" applyBorder="1" applyAlignment="1">
      <alignment horizontal="center" vertical="center"/>
    </xf>
    <xf numFmtId="165" fontId="10" fillId="2" borderId="16" xfId="1" applyNumberFormat="1" applyFont="1" applyFill="1" applyBorder="1" applyAlignment="1" applyProtection="1">
      <alignment horizontal="center" vertical="center"/>
      <protection locked="0"/>
    </xf>
    <xf numFmtId="167" fontId="10" fillId="0" borderId="16" xfId="1" applyNumberFormat="1" applyFont="1" applyFill="1" applyBorder="1" applyAlignment="1" applyProtection="1">
      <alignment horizontal="center" vertical="center"/>
      <protection locked="0"/>
    </xf>
    <xf numFmtId="167" fontId="10" fillId="0" borderId="17" xfId="1" applyNumberFormat="1" applyFont="1" applyFill="1" applyBorder="1" applyAlignment="1" applyProtection="1">
      <alignment horizontal="center" vertical="center"/>
      <protection locked="0"/>
    </xf>
    <xf numFmtId="165" fontId="19" fillId="2" borderId="4" xfId="1" quotePrefix="1" applyNumberFormat="1" applyFont="1" applyFill="1" applyBorder="1" applyAlignment="1" applyProtection="1">
      <alignment vertical="center"/>
      <protection locked="0"/>
    </xf>
    <xf numFmtId="1" fontId="19" fillId="2" borderId="4" xfId="0" quotePrefix="1" applyNumberFormat="1" applyFont="1" applyFill="1" applyBorder="1" applyAlignment="1" applyProtection="1">
      <alignment vertical="center"/>
      <protection locked="0"/>
    </xf>
    <xf numFmtId="43" fontId="10" fillId="2" borderId="4" xfId="0" applyNumberFormat="1" applyFont="1" applyFill="1" applyBorder="1" applyAlignment="1">
      <alignment vertical="center"/>
    </xf>
    <xf numFmtId="43" fontId="13" fillId="3" borderId="6" xfId="1" applyFont="1" applyFill="1" applyBorder="1" applyAlignment="1" applyProtection="1">
      <alignment horizontal="center" vertical="center" wrapText="1"/>
    </xf>
    <xf numFmtId="43" fontId="13" fillId="3" borderId="6" xfId="1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165" fontId="13" fillId="3" borderId="35" xfId="1" applyNumberFormat="1" applyFont="1" applyFill="1" applyBorder="1" applyAlignment="1" applyProtection="1">
      <alignment horizontal="left" vertical="center"/>
      <protection locked="0"/>
    </xf>
    <xf numFmtId="165" fontId="10" fillId="2" borderId="1" xfId="1" applyNumberFormat="1" applyFont="1" applyFill="1" applyBorder="1" applyAlignment="1" applyProtection="1">
      <alignment horizontal="left" vertical="center"/>
      <protection locked="0"/>
    </xf>
    <xf numFmtId="165" fontId="13" fillId="2" borderId="1" xfId="1" applyNumberFormat="1" applyFont="1" applyFill="1" applyBorder="1" applyAlignment="1" applyProtection="1">
      <alignment horizontal="center" vertical="center" wrapText="1"/>
    </xf>
    <xf numFmtId="165" fontId="13" fillId="2" borderId="1" xfId="1" applyNumberFormat="1" applyFont="1" applyFill="1" applyBorder="1" applyAlignment="1">
      <alignment horizontal="center" vertical="center"/>
    </xf>
    <xf numFmtId="165" fontId="10" fillId="2" borderId="1" xfId="1" applyNumberFormat="1" applyFont="1" applyFill="1" applyBorder="1" applyAlignment="1" applyProtection="1">
      <alignment horizontal="center" vertical="center"/>
      <protection locked="0"/>
    </xf>
    <xf numFmtId="1" fontId="10" fillId="2" borderId="16" xfId="1" applyNumberFormat="1" applyFont="1" applyFill="1" applyBorder="1" applyAlignment="1" applyProtection="1">
      <alignment horizontal="center" vertical="center" wrapText="1"/>
      <protection locked="0"/>
    </xf>
    <xf numFmtId="1" fontId="10" fillId="0" borderId="15" xfId="1" applyNumberFormat="1" applyFont="1" applyFill="1" applyBorder="1" applyAlignment="1" applyProtection="1">
      <alignment horizontal="center" vertical="center" wrapText="1"/>
      <protection locked="0"/>
    </xf>
    <xf numFmtId="1" fontId="10" fillId="0" borderId="18" xfId="1" applyNumberFormat="1" applyFont="1" applyFill="1" applyBorder="1" applyAlignment="1" applyProtection="1">
      <alignment horizontal="center" vertical="center" wrapText="1"/>
      <protection locked="0"/>
    </xf>
    <xf numFmtId="1" fontId="19" fillId="2" borderId="0" xfId="0" quotePrefix="1" applyNumberFormat="1" applyFont="1" applyFill="1" applyAlignment="1" applyProtection="1">
      <alignment horizontal="center" vertical="center" wrapText="1"/>
      <protection locked="0"/>
    </xf>
    <xf numFmtId="1" fontId="13" fillId="3" borderId="14" xfId="1" applyNumberFormat="1" applyFont="1" applyFill="1" applyBorder="1" applyAlignment="1" applyProtection="1">
      <alignment horizontal="center" vertical="center" wrapText="1"/>
      <protection locked="0"/>
    </xf>
    <xf numFmtId="1" fontId="19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165" fontId="19" fillId="2" borderId="26" xfId="1" quotePrefix="1" applyNumberFormat="1" applyFont="1" applyFill="1" applyBorder="1" applyAlignment="1" applyProtection="1">
      <alignment vertical="center"/>
      <protection locked="0"/>
    </xf>
    <xf numFmtId="1" fontId="10" fillId="0" borderId="16" xfId="1" applyNumberFormat="1" applyFont="1" applyFill="1" applyBorder="1" applyAlignment="1" applyProtection="1">
      <alignment horizontal="left" vertical="center" wrapText="1"/>
      <protection locked="0"/>
    </xf>
    <xf numFmtId="1" fontId="10" fillId="2" borderId="15" xfId="1" applyNumberFormat="1" applyFont="1" applyFill="1" applyBorder="1" applyAlignment="1" applyProtection="1">
      <alignment horizontal="center" vertical="center" wrapText="1"/>
    </xf>
    <xf numFmtId="1" fontId="10" fillId="2" borderId="7" xfId="1" applyNumberFormat="1" applyFont="1" applyFill="1" applyBorder="1" applyAlignment="1" applyProtection="1">
      <alignment horizontal="center" vertical="center" wrapText="1"/>
    </xf>
    <xf numFmtId="167" fontId="10" fillId="0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wrapText="1"/>
    </xf>
    <xf numFmtId="49" fontId="0" fillId="2" borderId="0" xfId="0" applyNumberFormat="1" applyFill="1" applyAlignment="1">
      <alignment horizontal="center" vertical="center" wrapText="1"/>
    </xf>
    <xf numFmtId="0" fontId="38" fillId="2" borderId="0" xfId="0" applyFont="1" applyFill="1"/>
    <xf numFmtId="0" fontId="38" fillId="2" borderId="0" xfId="0" applyFont="1" applyFill="1" applyAlignment="1">
      <alignment horizontal="left" vertical="center"/>
    </xf>
    <xf numFmtId="0" fontId="38" fillId="2" borderId="0" xfId="0" applyFont="1" applyFill="1" applyAlignment="1">
      <alignment vertical="center"/>
    </xf>
    <xf numFmtId="49" fontId="3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1" fontId="3" fillId="2" borderId="0" xfId="0" applyNumberFormat="1" applyFont="1" applyFill="1" applyAlignment="1" applyProtection="1">
      <alignment vertical="center"/>
      <protection locked="0"/>
    </xf>
    <xf numFmtId="165" fontId="11" fillId="2" borderId="33" xfId="1" applyNumberFormat="1" applyFont="1" applyFill="1" applyBorder="1" applyAlignment="1">
      <alignment vertical="center"/>
    </xf>
    <xf numFmtId="0" fontId="8" fillId="2" borderId="26" xfId="0" applyFont="1" applyFill="1" applyBorder="1" applyAlignment="1">
      <alignment vertical="center"/>
    </xf>
    <xf numFmtId="0" fontId="8" fillId="2" borderId="34" xfId="0" applyFont="1" applyFill="1" applyBorder="1" applyAlignment="1">
      <alignment vertical="center"/>
    </xf>
    <xf numFmtId="43" fontId="8" fillId="2" borderId="32" xfId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31" xfId="0" applyFont="1" applyFill="1" applyBorder="1" applyAlignment="1">
      <alignment vertical="center"/>
    </xf>
    <xf numFmtId="165" fontId="12" fillId="2" borderId="2" xfId="1" applyNumberFormat="1" applyFont="1" applyFill="1" applyBorder="1" applyAlignment="1">
      <alignment vertical="center"/>
    </xf>
    <xf numFmtId="165" fontId="12" fillId="2" borderId="7" xfId="1" applyNumberFormat="1" applyFont="1" applyFill="1" applyBorder="1" applyAlignment="1">
      <alignment vertical="center"/>
    </xf>
    <xf numFmtId="165" fontId="9" fillId="2" borderId="7" xfId="1" applyNumberFormat="1" applyFont="1" applyFill="1" applyBorder="1" applyAlignment="1">
      <alignment vertical="center"/>
    </xf>
    <xf numFmtId="165" fontId="11" fillId="2" borderId="32" xfId="1" applyNumberFormat="1" applyFont="1" applyFill="1" applyBorder="1" applyAlignment="1">
      <alignment vertical="center"/>
    </xf>
    <xf numFmtId="165" fontId="9" fillId="2" borderId="2" xfId="1" applyNumberFormat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1" fontId="16" fillId="2" borderId="0" xfId="0" applyNumberFormat="1" applyFont="1" applyFill="1" applyAlignment="1" applyProtection="1">
      <alignment vertical="center"/>
      <protection locked="0"/>
    </xf>
    <xf numFmtId="1" fontId="14" fillId="0" borderId="0" xfId="0" applyNumberFormat="1" applyFont="1" applyAlignment="1" applyProtection="1">
      <alignment vertical="center"/>
      <protection locked="0"/>
    </xf>
    <xf numFmtId="1" fontId="13" fillId="0" borderId="0" xfId="0" applyNumberFormat="1" applyFont="1" applyAlignment="1" applyProtection="1">
      <alignment horizontal="center" vertical="center"/>
      <protection locked="0"/>
    </xf>
    <xf numFmtId="1" fontId="21" fillId="2" borderId="0" xfId="0" applyNumberFormat="1" applyFont="1" applyFill="1" applyAlignment="1" applyProtection="1">
      <alignment vertical="center"/>
      <protection locked="0"/>
    </xf>
    <xf numFmtId="1" fontId="21" fillId="0" borderId="0" xfId="0" applyNumberFormat="1" applyFont="1" applyAlignment="1" applyProtection="1">
      <alignment vertical="center"/>
      <protection locked="0"/>
    </xf>
    <xf numFmtId="1" fontId="14" fillId="2" borderId="0" xfId="0" applyNumberFormat="1" applyFont="1" applyFill="1" applyAlignment="1" applyProtection="1">
      <alignment vertical="center"/>
      <protection locked="0"/>
    </xf>
    <xf numFmtId="1" fontId="21" fillId="2" borderId="0" xfId="0" applyNumberFormat="1" applyFont="1" applyFill="1" applyAlignment="1">
      <alignment vertical="center"/>
    </xf>
    <xf numFmtId="1" fontId="13" fillId="2" borderId="0" xfId="0" applyNumberFormat="1" applyFont="1" applyFill="1" applyAlignment="1">
      <alignment vertical="center"/>
    </xf>
    <xf numFmtId="1" fontId="21" fillId="0" borderId="0" xfId="0" applyNumberFormat="1" applyFont="1" applyAlignment="1">
      <alignment vertical="center"/>
    </xf>
    <xf numFmtId="1" fontId="16" fillId="0" borderId="0" xfId="0" applyNumberFormat="1" applyFont="1" applyAlignment="1">
      <alignment vertical="center"/>
    </xf>
    <xf numFmtId="1" fontId="27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0" fontId="5" fillId="2" borderId="0" xfId="0" applyFont="1" applyFill="1" applyAlignment="1" applyProtection="1">
      <alignment horizontal="right"/>
      <protection locked="0"/>
    </xf>
    <xf numFmtId="1" fontId="10" fillId="2" borderId="15" xfId="1" applyNumberFormat="1" applyFont="1" applyFill="1" applyBorder="1" applyAlignment="1" applyProtection="1">
      <alignment horizontal="left" vertical="center"/>
      <protection locked="0"/>
    </xf>
    <xf numFmtId="1" fontId="10" fillId="2" borderId="15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15" xfId="1" applyNumberFormat="1" applyFont="1" applyFill="1" applyBorder="1" applyAlignment="1" applyProtection="1">
      <alignment horizontal="center" vertical="center"/>
      <protection locked="0"/>
    </xf>
    <xf numFmtId="165" fontId="10" fillId="2" borderId="15" xfId="1" applyNumberFormat="1" applyFont="1" applyFill="1" applyBorder="1" applyAlignment="1" applyProtection="1">
      <alignment horizontal="center" vertical="center" wrapText="1"/>
    </xf>
    <xf numFmtId="43" fontId="10" fillId="2" borderId="15" xfId="1" applyFont="1" applyFill="1" applyBorder="1" applyAlignment="1" applyProtection="1">
      <alignment vertical="center" wrapText="1"/>
      <protection locked="0"/>
    </xf>
    <xf numFmtId="165" fontId="13" fillId="2" borderId="15" xfId="1" applyNumberFormat="1" applyFont="1" applyFill="1" applyBorder="1" applyAlignment="1" applyProtection="1">
      <alignment horizontal="center" vertical="center" wrapText="1"/>
    </xf>
    <xf numFmtId="165" fontId="13" fillId="2" borderId="15" xfId="1" applyNumberFormat="1" applyFont="1" applyFill="1" applyBorder="1" applyAlignment="1">
      <alignment horizontal="center" vertical="center"/>
    </xf>
    <xf numFmtId="0" fontId="10" fillId="0" borderId="16" xfId="0" applyFont="1" applyBorder="1" applyAlignment="1" applyProtection="1">
      <alignment horizontal="center" vertical="center"/>
      <protection locked="0"/>
    </xf>
    <xf numFmtId="165" fontId="10" fillId="2" borderId="17" xfId="1" applyNumberFormat="1" applyFont="1" applyFill="1" applyBorder="1" applyAlignment="1" applyProtection="1">
      <alignment horizontal="center" vertical="center" wrapText="1"/>
      <protection locked="0"/>
    </xf>
    <xf numFmtId="165" fontId="13" fillId="2" borderId="17" xfId="1" applyNumberFormat="1" applyFont="1" applyFill="1" applyBorder="1" applyAlignment="1">
      <alignment horizontal="center" vertical="center"/>
    </xf>
    <xf numFmtId="1" fontId="10" fillId="2" borderId="17" xfId="0" quotePrefix="1" applyNumberFormat="1" applyFont="1" applyFill="1" applyBorder="1" applyAlignment="1" applyProtection="1">
      <alignment horizontal="center" vertical="center" wrapText="1"/>
      <protection locked="0"/>
    </xf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1" fontId="10" fillId="2" borderId="17" xfId="1" applyNumberFormat="1" applyFont="1" applyFill="1" applyBorder="1" applyAlignment="1" applyProtection="1">
      <alignment horizontal="left" vertical="center"/>
      <protection locked="0"/>
    </xf>
    <xf numFmtId="1" fontId="10" fillId="2" borderId="17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17" xfId="1" applyNumberFormat="1" applyFont="1" applyFill="1" applyBorder="1" applyAlignment="1" applyProtection="1">
      <alignment horizontal="center" vertical="center"/>
      <protection locked="0"/>
    </xf>
    <xf numFmtId="43" fontId="10" fillId="2" borderId="17" xfId="1" applyFont="1" applyFill="1" applyBorder="1" applyAlignment="1" applyProtection="1">
      <alignment vertical="center" wrapText="1"/>
      <protection locked="0"/>
    </xf>
    <xf numFmtId="165" fontId="13" fillId="2" borderId="17" xfId="1" applyNumberFormat="1" applyFont="1" applyFill="1" applyBorder="1" applyAlignment="1" applyProtection="1">
      <alignment horizontal="center" vertical="center" wrapText="1"/>
    </xf>
    <xf numFmtId="165" fontId="10" fillId="2" borderId="17" xfId="1" applyNumberFormat="1" applyFont="1" applyFill="1" applyBorder="1" applyAlignment="1" applyProtection="1">
      <alignment horizontal="center" vertical="center"/>
      <protection locked="0"/>
    </xf>
    <xf numFmtId="1" fontId="19" fillId="2" borderId="37" xfId="0" quotePrefix="1" applyNumberFormat="1" applyFont="1" applyFill="1" applyBorder="1" applyAlignment="1" applyProtection="1">
      <alignment vertical="center"/>
      <protection locked="0"/>
    </xf>
    <xf numFmtId="1" fontId="19" fillId="2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19" fillId="2" borderId="38" xfId="0" quotePrefix="1" applyNumberFormat="1" applyFont="1" applyFill="1" applyBorder="1" applyAlignment="1" applyProtection="1">
      <alignment vertical="center"/>
      <protection locked="0"/>
    </xf>
    <xf numFmtId="1" fontId="13" fillId="3" borderId="6" xfId="0" applyNumberFormat="1" applyFont="1" applyFill="1" applyBorder="1" applyAlignment="1">
      <alignment horizontal="center" vertical="center" textRotation="90" wrapText="1"/>
    </xf>
    <xf numFmtId="0" fontId="48" fillId="2" borderId="0" xfId="0" applyFont="1" applyFill="1"/>
    <xf numFmtId="0" fontId="37" fillId="2" borderId="0" xfId="4" applyFont="1" applyFill="1" applyAlignment="1">
      <alignment vertical="center"/>
    </xf>
    <xf numFmtId="0" fontId="37" fillId="2" borderId="0" xfId="4" applyFont="1" applyFill="1" applyAlignment="1">
      <alignment horizontal="center" vertical="center" wrapText="1"/>
    </xf>
    <xf numFmtId="0" fontId="37" fillId="2" borderId="0" xfId="4" applyFont="1" applyFill="1" applyAlignment="1">
      <alignment horizontal="center" vertical="center"/>
    </xf>
    <xf numFmtId="0" fontId="24" fillId="2" borderId="6" xfId="4" applyFont="1" applyFill="1" applyBorder="1" applyAlignment="1">
      <alignment horizontal="center" vertical="center" wrapText="1"/>
    </xf>
    <xf numFmtId="165" fontId="24" fillId="2" borderId="6" xfId="1" applyNumberFormat="1" applyFont="1" applyFill="1" applyBorder="1" applyAlignment="1">
      <alignment horizontal="center" vertical="center" wrapText="1"/>
    </xf>
    <xf numFmtId="0" fontId="48" fillId="2" borderId="0" xfId="0" applyFont="1" applyFill="1" applyAlignment="1">
      <alignment vertical="center"/>
    </xf>
    <xf numFmtId="0" fontId="48" fillId="2" borderId="0" xfId="0" applyFont="1" applyFill="1" applyAlignment="1">
      <alignment horizontal="center" wrapText="1"/>
    </xf>
    <xf numFmtId="0" fontId="48" fillId="2" borderId="0" xfId="0" applyFont="1" applyFill="1" applyAlignment="1">
      <alignment horizontal="center"/>
    </xf>
    <xf numFmtId="165" fontId="23" fillId="2" borderId="26" xfId="1" applyNumberFormat="1" applyFont="1" applyFill="1" applyBorder="1" applyAlignment="1">
      <alignment horizontal="center" vertical="center"/>
    </xf>
    <xf numFmtId="43" fontId="23" fillId="2" borderId="26" xfId="1" applyFont="1" applyFill="1" applyBorder="1" applyAlignment="1">
      <alignment horizontal="center" vertical="center"/>
    </xf>
    <xf numFmtId="1" fontId="19" fillId="2" borderId="0" xfId="0" quotePrefix="1" applyNumberFormat="1" applyFont="1" applyFill="1" applyAlignment="1" applyProtection="1">
      <alignment horizontal="left" vertical="center"/>
      <protection locked="0"/>
    </xf>
    <xf numFmtId="43" fontId="14" fillId="2" borderId="26" xfId="0" applyNumberFormat="1" applyFont="1" applyFill="1" applyBorder="1" applyAlignment="1">
      <alignment vertical="center"/>
    </xf>
    <xf numFmtId="167" fontId="10" fillId="0" borderId="7" xfId="1" applyNumberFormat="1" applyFont="1" applyFill="1" applyBorder="1" applyAlignment="1" applyProtection="1">
      <alignment horizontal="center" vertical="center"/>
      <protection locked="0"/>
    </xf>
    <xf numFmtId="165" fontId="11" fillId="2" borderId="0" xfId="0" applyNumberFormat="1" applyFont="1" applyFill="1" applyAlignment="1">
      <alignment vertical="center"/>
    </xf>
    <xf numFmtId="165" fontId="13" fillId="0" borderId="9" xfId="1" applyNumberFormat="1" applyFont="1" applyFill="1" applyBorder="1" applyAlignment="1" applyProtection="1">
      <alignment horizontal="left" vertical="center"/>
      <protection locked="0"/>
    </xf>
    <xf numFmtId="165" fontId="13" fillId="0" borderId="11" xfId="1" applyNumberFormat="1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>
      <alignment wrapText="1"/>
    </xf>
    <xf numFmtId="14" fontId="0" fillId="2" borderId="0" xfId="0" applyNumberFormat="1" applyFill="1" applyAlignment="1">
      <alignment horizontal="center" vertical="center" wrapText="1"/>
    </xf>
    <xf numFmtId="14" fontId="0" fillId="2" borderId="0" xfId="0" applyNumberFormat="1" applyFill="1"/>
    <xf numFmtId="0" fontId="40" fillId="2" borderId="6" xfId="0" applyFont="1" applyFill="1" applyBorder="1" applyAlignment="1">
      <alignment vertical="center"/>
    </xf>
    <xf numFmtId="0" fontId="2" fillId="2" borderId="0" xfId="1" applyNumberFormat="1" applyFont="1" applyFill="1" applyBorder="1" applyAlignment="1">
      <alignment wrapText="1"/>
    </xf>
    <xf numFmtId="0" fontId="0" fillId="2" borderId="0" xfId="1" applyNumberFormat="1" applyFont="1" applyFill="1" applyAlignment="1">
      <alignment horizontal="center" vertical="center" wrapText="1"/>
    </xf>
    <xf numFmtId="0" fontId="38" fillId="2" borderId="0" xfId="1" applyNumberFormat="1" applyFont="1" applyFill="1" applyAlignment="1">
      <alignment vertical="center"/>
    </xf>
    <xf numFmtId="0" fontId="0" fillId="2" borderId="0" xfId="1" applyNumberFormat="1" applyFont="1" applyFill="1"/>
    <xf numFmtId="165" fontId="13" fillId="0" borderId="16" xfId="1" applyNumberFormat="1" applyFont="1" applyFill="1" applyBorder="1" applyAlignment="1" applyProtection="1">
      <alignment horizontal="center" vertical="center" wrapText="1"/>
      <protection locked="0"/>
    </xf>
    <xf numFmtId="43" fontId="10" fillId="0" borderId="23" xfId="1" applyFont="1" applyFill="1" applyBorder="1" applyAlignment="1" applyProtection="1">
      <alignment vertical="center" wrapText="1"/>
      <protection locked="0"/>
    </xf>
    <xf numFmtId="165" fontId="13" fillId="2" borderId="16" xfId="1" applyNumberFormat="1" applyFont="1" applyFill="1" applyBorder="1" applyAlignment="1" applyProtection="1">
      <alignment horizontal="left" vertical="center"/>
      <protection locked="0"/>
    </xf>
    <xf numFmtId="165" fontId="10" fillId="0" borderId="39" xfId="1" applyNumberFormat="1" applyFont="1" applyFill="1" applyBorder="1" applyAlignment="1" applyProtection="1">
      <alignment horizontal="left" vertical="center"/>
      <protection locked="0"/>
    </xf>
    <xf numFmtId="165" fontId="8" fillId="0" borderId="0" xfId="1" applyNumberFormat="1" applyFont="1" applyFill="1" applyAlignment="1">
      <alignment vertical="center"/>
    </xf>
    <xf numFmtId="165" fontId="8" fillId="0" borderId="0" xfId="0" applyNumberFormat="1" applyFont="1" applyAlignment="1">
      <alignment horizontal="right" vertical="center"/>
    </xf>
    <xf numFmtId="165" fontId="21" fillId="0" borderId="0" xfId="1" applyNumberFormat="1" applyFont="1" applyFill="1" applyBorder="1" applyAlignment="1" applyProtection="1">
      <alignment vertical="center"/>
      <protection locked="0"/>
    </xf>
    <xf numFmtId="165" fontId="13" fillId="2" borderId="17" xfId="1" applyNumberFormat="1" applyFont="1" applyFill="1" applyBorder="1" applyAlignment="1" applyProtection="1">
      <alignment horizontal="left" vertical="center"/>
      <protection locked="0"/>
    </xf>
    <xf numFmtId="43" fontId="23" fillId="2" borderId="4" xfId="1" applyFont="1" applyFill="1" applyBorder="1" applyAlignment="1">
      <alignment horizontal="center" vertical="center"/>
    </xf>
    <xf numFmtId="165" fontId="11" fillId="2" borderId="4" xfId="1" applyNumberFormat="1" applyFont="1" applyFill="1" applyBorder="1" applyAlignment="1">
      <alignment vertical="center"/>
    </xf>
    <xf numFmtId="165" fontId="24" fillId="2" borderId="4" xfId="1" applyNumberFormat="1" applyFont="1" applyFill="1" applyBorder="1" applyAlignment="1">
      <alignment horizontal="center" vertical="center"/>
    </xf>
    <xf numFmtId="165" fontId="24" fillId="2" borderId="4" xfId="1" applyNumberFormat="1" applyFont="1" applyFill="1" applyBorder="1" applyAlignment="1">
      <alignment vertical="center"/>
    </xf>
    <xf numFmtId="1" fontId="10" fillId="2" borderId="6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left"/>
    </xf>
    <xf numFmtId="0" fontId="10" fillId="0" borderId="0" xfId="0" applyFont="1" applyAlignment="1" applyProtection="1">
      <alignment horizontal="center" vertical="center" wrapText="1"/>
      <protection locked="0"/>
    </xf>
    <xf numFmtId="165" fontId="10" fillId="2" borderId="15" xfId="1" applyNumberFormat="1" applyFont="1" applyFill="1" applyBorder="1" applyAlignment="1" applyProtection="1">
      <alignment horizontal="center" vertical="center" wrapText="1"/>
      <protection locked="0"/>
    </xf>
    <xf numFmtId="165" fontId="13" fillId="2" borderId="15" xfId="1" applyNumberFormat="1" applyFont="1" applyFill="1" applyBorder="1" applyAlignment="1" applyProtection="1">
      <alignment horizontal="left" vertical="center"/>
      <protection locked="0"/>
    </xf>
    <xf numFmtId="165" fontId="10" fillId="2" borderId="7" xfId="1" applyNumberFormat="1" applyFont="1" applyFill="1" applyBorder="1" applyAlignment="1" applyProtection="1">
      <alignment horizontal="left" vertical="center"/>
      <protection locked="0"/>
    </xf>
    <xf numFmtId="165" fontId="10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40" fillId="2" borderId="0" xfId="0" applyFont="1" applyFill="1" applyAlignment="1">
      <alignment vertical="center"/>
    </xf>
    <xf numFmtId="168" fontId="40" fillId="2" borderId="0" xfId="0" applyNumberFormat="1" applyFont="1" applyFill="1" applyAlignment="1">
      <alignment vertical="center"/>
    </xf>
    <xf numFmtId="0" fontId="41" fillId="2" borderId="6" xfId="0" applyFont="1" applyFill="1" applyBorder="1" applyAlignment="1">
      <alignment vertical="center"/>
    </xf>
    <xf numFmtId="0" fontId="40" fillId="2" borderId="0" xfId="0" applyFont="1" applyFill="1" applyAlignment="1">
      <alignment horizontal="center" vertical="center" wrapText="1"/>
    </xf>
    <xf numFmtId="165" fontId="12" fillId="2" borderId="29" xfId="1" applyNumberFormat="1" applyFont="1" applyFill="1" applyBorder="1" applyAlignment="1" applyProtection="1">
      <alignment horizontal="left" vertical="center"/>
      <protection locked="0"/>
    </xf>
    <xf numFmtId="43" fontId="10" fillId="0" borderId="17" xfId="1" applyFont="1" applyFill="1" applyBorder="1" applyAlignment="1" applyProtection="1">
      <alignment horizontal="center" vertical="center" wrapText="1"/>
    </xf>
    <xf numFmtId="1" fontId="10" fillId="0" borderId="39" xfId="0" quotePrefix="1" applyNumberFormat="1" applyFont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165" fontId="4" fillId="0" borderId="0" xfId="1" applyNumberFormat="1" applyFont="1" applyFill="1" applyBorder="1" applyAlignment="1" applyProtection="1">
      <alignment vertical="center"/>
      <protection locked="0"/>
    </xf>
    <xf numFmtId="165" fontId="8" fillId="2" borderId="0" xfId="1" applyNumberFormat="1" applyFont="1" applyFill="1" applyAlignment="1">
      <alignment vertical="center"/>
    </xf>
    <xf numFmtId="165" fontId="10" fillId="2" borderId="6" xfId="1" applyNumberFormat="1" applyFont="1" applyFill="1" applyBorder="1" applyAlignment="1" applyProtection="1">
      <alignment horizontal="left" vertical="center"/>
      <protection locked="0"/>
    </xf>
    <xf numFmtId="0" fontId="10" fillId="2" borderId="0" xfId="0" applyFont="1" applyFill="1"/>
    <xf numFmtId="0" fontId="12" fillId="2" borderId="0" xfId="4" applyFont="1" applyFill="1" applyAlignment="1">
      <alignment vertical="center"/>
    </xf>
    <xf numFmtId="0" fontId="12" fillId="2" borderId="0" xfId="4" applyFont="1" applyFill="1" applyAlignment="1">
      <alignment horizontal="center" vertical="center" wrapText="1"/>
    </xf>
    <xf numFmtId="0" fontId="12" fillId="2" borderId="0" xfId="4" applyFont="1" applyFill="1" applyAlignment="1">
      <alignment horizontal="center" vertical="center"/>
    </xf>
    <xf numFmtId="165" fontId="12" fillId="2" borderId="0" xfId="1" applyNumberFormat="1" applyFont="1" applyFill="1" applyAlignment="1">
      <alignment vertical="center"/>
    </xf>
    <xf numFmtId="0" fontId="9" fillId="2" borderId="6" xfId="4" applyFont="1" applyFill="1" applyBorder="1" applyAlignment="1">
      <alignment horizontal="center" vertical="center" wrapText="1"/>
    </xf>
    <xf numFmtId="0" fontId="9" fillId="2" borderId="6" xfId="4" applyFont="1" applyFill="1" applyBorder="1" applyAlignment="1">
      <alignment horizontal="center" vertical="center"/>
    </xf>
    <xf numFmtId="165" fontId="9" fillId="2" borderId="6" xfId="1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 wrapText="1"/>
    </xf>
    <xf numFmtId="1" fontId="38" fillId="2" borderId="0" xfId="0" applyNumberFormat="1" applyFont="1" applyFill="1"/>
    <xf numFmtId="165" fontId="0" fillId="2" borderId="0" xfId="1" applyNumberFormat="1" applyFont="1" applyFill="1" applyAlignment="1">
      <alignment horizontal="center" wrapText="1"/>
    </xf>
    <xf numFmtId="165" fontId="0" fillId="2" borderId="0" xfId="1" applyNumberFormat="1" applyFont="1" applyFill="1"/>
    <xf numFmtId="165" fontId="38" fillId="2" borderId="0" xfId="1" applyNumberFormat="1" applyFont="1" applyFill="1" applyAlignment="1"/>
    <xf numFmtId="1" fontId="2" fillId="2" borderId="0" xfId="0" applyNumberFormat="1" applyFont="1" applyFill="1"/>
    <xf numFmtId="165" fontId="11" fillId="2" borderId="0" xfId="1" applyNumberFormat="1" applyFont="1" applyFill="1" applyAlignment="1">
      <alignment vertical="center"/>
    </xf>
    <xf numFmtId="165" fontId="8" fillId="2" borderId="0" xfId="0" applyNumberFormat="1" applyFont="1" applyFill="1" applyAlignment="1">
      <alignment vertical="center"/>
    </xf>
    <xf numFmtId="165" fontId="10" fillId="2" borderId="0" xfId="1" applyNumberFormat="1" applyFont="1" applyFill="1" applyBorder="1" applyAlignment="1">
      <alignment vertical="center"/>
    </xf>
    <xf numFmtId="165" fontId="10" fillId="0" borderId="6" xfId="1" applyNumberFormat="1" applyFont="1" applyFill="1" applyBorder="1" applyAlignment="1" applyProtection="1">
      <alignment horizontal="left" vertical="center"/>
      <protection locked="0"/>
    </xf>
    <xf numFmtId="43" fontId="10" fillId="0" borderId="6" xfId="1" applyFont="1" applyFill="1" applyBorder="1" applyAlignment="1" applyProtection="1">
      <alignment vertical="center" wrapText="1"/>
      <protection locked="0"/>
    </xf>
    <xf numFmtId="165" fontId="13" fillId="0" borderId="6" xfId="1" applyNumberFormat="1" applyFont="1" applyFill="1" applyBorder="1" applyAlignment="1" applyProtection="1">
      <alignment horizontal="center" vertical="center" wrapText="1"/>
    </xf>
    <xf numFmtId="165" fontId="10" fillId="0" borderId="6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6" xfId="1" applyNumberFormat="1" applyFont="1" applyFill="1" applyBorder="1" applyAlignment="1">
      <alignment horizontal="center" vertical="center"/>
    </xf>
    <xf numFmtId="165" fontId="13" fillId="0" borderId="6" xfId="1" applyNumberFormat="1" applyFont="1" applyFill="1" applyBorder="1" applyAlignment="1">
      <alignment horizontal="center" vertical="center"/>
    </xf>
    <xf numFmtId="165" fontId="13" fillId="2" borderId="6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6" xfId="1" applyNumberFormat="1" applyFont="1" applyFill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165" fontId="10" fillId="2" borderId="0" xfId="0" applyNumberFormat="1" applyFont="1" applyFill="1"/>
    <xf numFmtId="0" fontId="2" fillId="2" borderId="40" xfId="0" applyFont="1" applyFill="1" applyBorder="1" applyAlignment="1">
      <alignment horizontal="center" vertical="center" wrapText="1"/>
    </xf>
    <xf numFmtId="0" fontId="0" fillId="2" borderId="40" xfId="0" applyFill="1" applyBorder="1" applyAlignment="1">
      <alignment vertical="center" wrapText="1"/>
    </xf>
    <xf numFmtId="0" fontId="0" fillId="2" borderId="40" xfId="0" applyFill="1" applyBorder="1" applyAlignment="1">
      <alignment horizontal="center" vertical="center" wrapText="1"/>
    </xf>
    <xf numFmtId="15" fontId="0" fillId="2" borderId="40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2" fillId="2" borderId="42" xfId="0" applyFont="1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5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0" fillId="2" borderId="45" xfId="0" applyFill="1" applyBorder="1" applyAlignment="1">
      <alignment vertical="center" wrapText="1"/>
    </xf>
    <xf numFmtId="0" fontId="0" fillId="2" borderId="45" xfId="0" applyFill="1" applyBorder="1" applyAlignment="1">
      <alignment horizontal="center" vertical="center" wrapText="1"/>
    </xf>
    <xf numFmtId="15" fontId="0" fillId="2" borderId="45" xfId="0" applyNumberFormat="1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165" fontId="33" fillId="2" borderId="11" xfId="1" applyNumberFormat="1" applyFont="1" applyFill="1" applyBorder="1" applyAlignment="1">
      <alignment horizontal="center" vertical="center"/>
    </xf>
    <xf numFmtId="165" fontId="33" fillId="2" borderId="47" xfId="1" applyNumberFormat="1" applyFont="1" applyFill="1" applyBorder="1" applyAlignment="1">
      <alignment horizontal="center" vertical="center"/>
    </xf>
    <xf numFmtId="0" fontId="0" fillId="2" borderId="11" xfId="1" applyNumberFormat="1" applyFont="1" applyFill="1" applyBorder="1" applyAlignment="1">
      <alignment horizontal="center" vertical="center" wrapText="1"/>
    </xf>
    <xf numFmtId="0" fontId="0" fillId="2" borderId="47" xfId="1" applyNumberFormat="1" applyFont="1" applyFill="1" applyBorder="1" applyAlignment="1">
      <alignment horizontal="center" vertical="center" wrapText="1"/>
    </xf>
    <xf numFmtId="0" fontId="43" fillId="2" borderId="0" xfId="9" applyFont="1" applyFill="1" applyAlignment="1">
      <alignment horizontal="center" vertical="center" wrapText="1"/>
    </xf>
    <xf numFmtId="165" fontId="21" fillId="2" borderId="0" xfId="1" applyNumberFormat="1" applyFont="1" applyFill="1" applyBorder="1" applyAlignment="1" applyProtection="1">
      <alignment vertical="center"/>
      <protection locked="0"/>
    </xf>
    <xf numFmtId="165" fontId="16" fillId="2" borderId="0" xfId="1" applyNumberFormat="1" applyFont="1" applyFill="1" applyBorder="1" applyAlignment="1" applyProtection="1">
      <alignment vertical="center"/>
      <protection locked="0"/>
    </xf>
    <xf numFmtId="165" fontId="14" fillId="0" borderId="0" xfId="1" applyNumberFormat="1" applyFont="1" applyFill="1" applyBorder="1" applyAlignment="1" applyProtection="1">
      <alignment vertical="center"/>
      <protection locked="0"/>
    </xf>
    <xf numFmtId="165" fontId="13" fillId="0" borderId="0" xfId="1" applyNumberFormat="1" applyFont="1" applyFill="1" applyBorder="1" applyAlignment="1" applyProtection="1">
      <alignment horizontal="center" vertical="center"/>
      <protection locked="0"/>
    </xf>
    <xf numFmtId="165" fontId="14" fillId="2" borderId="0" xfId="1" applyNumberFormat="1" applyFont="1" applyFill="1" applyBorder="1" applyAlignment="1" applyProtection="1">
      <alignment vertical="center"/>
      <protection locked="0"/>
    </xf>
    <xf numFmtId="165" fontId="21" fillId="2" borderId="0" xfId="1" applyNumberFormat="1" applyFont="1" applyFill="1" applyBorder="1" applyAlignment="1">
      <alignment vertical="center"/>
    </xf>
    <xf numFmtId="165" fontId="13" fillId="2" borderId="0" xfId="1" applyNumberFormat="1" applyFont="1" applyFill="1" applyBorder="1" applyAlignment="1">
      <alignment vertical="center"/>
    </xf>
    <xf numFmtId="165" fontId="11" fillId="2" borderId="26" xfId="1" applyNumberFormat="1" applyFont="1" applyFill="1" applyBorder="1" applyAlignment="1">
      <alignment vertical="center"/>
    </xf>
    <xf numFmtId="43" fontId="10" fillId="2" borderId="26" xfId="0" applyNumberFormat="1" applyFont="1" applyFill="1" applyBorder="1" applyAlignment="1">
      <alignment vertical="center"/>
    </xf>
    <xf numFmtId="165" fontId="24" fillId="2" borderId="26" xfId="1" applyNumberFormat="1" applyFont="1" applyFill="1" applyBorder="1" applyAlignment="1">
      <alignment horizontal="center" vertical="center"/>
    </xf>
    <xf numFmtId="165" fontId="24" fillId="2" borderId="26" xfId="1" applyNumberFormat="1" applyFont="1" applyFill="1" applyBorder="1" applyAlignment="1">
      <alignment vertical="center"/>
    </xf>
    <xf numFmtId="171" fontId="4" fillId="2" borderId="0" xfId="0" applyNumberFormat="1" applyFont="1" applyFill="1" applyAlignment="1" applyProtection="1">
      <alignment vertical="center"/>
      <protection locked="0"/>
    </xf>
    <xf numFmtId="171" fontId="19" fillId="2" borderId="4" xfId="0" quotePrefix="1" applyNumberFormat="1" applyFont="1" applyFill="1" applyBorder="1" applyAlignment="1" applyProtection="1">
      <alignment vertical="center"/>
      <protection locked="0"/>
    </xf>
    <xf numFmtId="171" fontId="10" fillId="2" borderId="16" xfId="1" applyNumberFormat="1" applyFont="1" applyFill="1" applyBorder="1" applyAlignment="1" applyProtection="1">
      <alignment horizontal="center" vertical="center"/>
      <protection locked="0"/>
    </xf>
    <xf numFmtId="171" fontId="10" fillId="0" borderId="16" xfId="1" applyNumberFormat="1" applyFont="1" applyFill="1" applyBorder="1" applyAlignment="1" applyProtection="1">
      <alignment horizontal="center" vertical="center"/>
      <protection locked="0"/>
    </xf>
    <xf numFmtId="171" fontId="10" fillId="2" borderId="17" xfId="1" applyNumberFormat="1" applyFont="1" applyFill="1" applyBorder="1" applyAlignment="1" applyProtection="1">
      <alignment horizontal="center" vertical="center"/>
      <protection locked="0"/>
    </xf>
    <xf numFmtId="171" fontId="10" fillId="2" borderId="0" xfId="1" applyNumberFormat="1" applyFont="1" applyFill="1" applyBorder="1" applyAlignment="1" applyProtection="1">
      <alignment horizontal="center" vertical="center"/>
      <protection locked="0"/>
    </xf>
    <xf numFmtId="171" fontId="13" fillId="2" borderId="0" xfId="1" applyNumberFormat="1" applyFont="1" applyFill="1" applyBorder="1" applyAlignment="1" applyProtection="1">
      <alignment horizontal="center" vertical="center"/>
      <protection locked="0"/>
    </xf>
    <xf numFmtId="171" fontId="14" fillId="2" borderId="0" xfId="0" applyNumberFormat="1" applyFont="1" applyFill="1" applyAlignment="1">
      <alignment vertical="center"/>
    </xf>
    <xf numFmtId="171" fontId="13" fillId="2" borderId="0" xfId="0" applyNumberFormat="1" applyFont="1" applyFill="1" applyAlignment="1">
      <alignment vertical="center" wrapText="1"/>
    </xf>
    <xf numFmtId="171" fontId="16" fillId="0" borderId="0" xfId="0" applyNumberFormat="1" applyFont="1" applyAlignment="1">
      <alignment vertical="center"/>
    </xf>
    <xf numFmtId="171" fontId="27" fillId="0" borderId="0" xfId="0" applyNumberFormat="1" applyFont="1" applyAlignment="1">
      <alignment vertical="center"/>
    </xf>
    <xf numFmtId="171" fontId="28" fillId="0" borderId="0" xfId="0" applyNumberFormat="1" applyFont="1" applyAlignment="1">
      <alignment vertical="center"/>
    </xf>
    <xf numFmtId="1" fontId="17" fillId="2" borderId="0" xfId="0" applyNumberFormat="1" applyFont="1" applyFill="1" applyAlignment="1" applyProtection="1">
      <alignment vertical="center"/>
      <protection locked="0"/>
    </xf>
    <xf numFmtId="165" fontId="2" fillId="2" borderId="11" xfId="1" applyNumberFormat="1" applyFont="1" applyFill="1" applyBorder="1" applyAlignment="1">
      <alignment horizontal="center" vertical="center"/>
    </xf>
    <xf numFmtId="1" fontId="10" fillId="2" borderId="18" xfId="1" applyNumberFormat="1" applyFont="1" applyFill="1" applyBorder="1" applyAlignment="1" applyProtection="1">
      <alignment horizontal="left" vertical="center"/>
      <protection locked="0"/>
    </xf>
    <xf numFmtId="167" fontId="10" fillId="0" borderId="18" xfId="1" applyNumberFormat="1" applyFont="1" applyFill="1" applyBorder="1" applyAlignment="1" applyProtection="1">
      <alignment horizontal="center" vertical="center"/>
      <protection locked="0"/>
    </xf>
    <xf numFmtId="1" fontId="19" fillId="2" borderId="26" xfId="0" quotePrefix="1" applyNumberFormat="1" applyFont="1" applyFill="1" applyBorder="1" applyAlignment="1" applyProtection="1">
      <alignment horizontal="center" vertical="center" wrapText="1"/>
      <protection locked="0"/>
    </xf>
    <xf numFmtId="1" fontId="10" fillId="2" borderId="18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18" xfId="1" applyNumberFormat="1" applyFont="1" applyFill="1" applyBorder="1" applyAlignment="1" applyProtection="1">
      <alignment horizontal="center" vertical="center"/>
      <protection locked="0"/>
    </xf>
    <xf numFmtId="165" fontId="10" fillId="2" borderId="7" xfId="1" applyNumberFormat="1" applyFont="1" applyFill="1" applyBorder="1" applyAlignment="1" applyProtection="1">
      <alignment horizontal="center" vertical="center" wrapText="1"/>
    </xf>
    <xf numFmtId="43" fontId="10" fillId="2" borderId="18" xfId="1" applyFont="1" applyFill="1" applyBorder="1" applyAlignment="1" applyProtection="1">
      <alignment vertical="center" wrapText="1"/>
      <protection locked="0"/>
    </xf>
    <xf numFmtId="165" fontId="13" fillId="2" borderId="18" xfId="1" applyNumberFormat="1" applyFont="1" applyFill="1" applyBorder="1" applyAlignment="1" applyProtection="1">
      <alignment horizontal="center" vertical="center" wrapText="1"/>
    </xf>
    <xf numFmtId="165" fontId="13" fillId="2" borderId="18" xfId="1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 applyProtection="1">
      <alignment vertical="center" wrapText="1"/>
      <protection locked="0"/>
    </xf>
    <xf numFmtId="1" fontId="19" fillId="2" borderId="0" xfId="0" quotePrefix="1" applyNumberFormat="1" applyFont="1" applyFill="1" applyAlignment="1" applyProtection="1">
      <alignment vertical="center" wrapText="1"/>
      <protection locked="0"/>
    </xf>
    <xf numFmtId="1" fontId="19" fillId="2" borderId="1" xfId="0" quotePrefix="1" applyNumberFormat="1" applyFont="1" applyFill="1" applyBorder="1" applyAlignment="1" applyProtection="1">
      <alignment vertical="center" wrapText="1"/>
      <protection locked="0"/>
    </xf>
    <xf numFmtId="1" fontId="19" fillId="2" borderId="4" xfId="0" quotePrefix="1" applyNumberFormat="1" applyFont="1" applyFill="1" applyBorder="1" applyAlignment="1" applyProtection="1">
      <alignment vertical="center" wrapText="1"/>
      <protection locked="0"/>
    </xf>
    <xf numFmtId="165" fontId="11" fillId="0" borderId="0" xfId="1" applyNumberFormat="1" applyFont="1" applyFill="1" applyBorder="1" applyAlignment="1">
      <alignment vertical="center"/>
    </xf>
    <xf numFmtId="1" fontId="10" fillId="2" borderId="15" xfId="0" quotePrefix="1" applyNumberFormat="1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171" fontId="10" fillId="2" borderId="15" xfId="1" applyNumberFormat="1" applyFont="1" applyFill="1" applyBorder="1" applyAlignment="1" applyProtection="1">
      <alignment horizontal="center" vertical="center"/>
      <protection locked="0"/>
    </xf>
    <xf numFmtId="165" fontId="10" fillId="2" borderId="15" xfId="1" applyNumberFormat="1" applyFont="1" applyFill="1" applyBorder="1" applyAlignment="1" applyProtection="1">
      <alignment horizontal="center" vertical="center"/>
      <protection locked="0"/>
    </xf>
    <xf numFmtId="1" fontId="10" fillId="2" borderId="18" xfId="0" quotePrefix="1" applyNumberFormat="1" applyFont="1" applyFill="1" applyBorder="1" applyAlignment="1" applyProtection="1">
      <alignment horizontal="center" vertical="center" wrapText="1"/>
      <protection locked="0"/>
    </xf>
    <xf numFmtId="165" fontId="10" fillId="2" borderId="18" xfId="1" applyNumberFormat="1" applyFont="1" applyFill="1" applyBorder="1" applyAlignment="1" applyProtection="1">
      <alignment horizontal="center" vertical="center"/>
      <protection locked="0"/>
    </xf>
    <xf numFmtId="1" fontId="10" fillId="2" borderId="15" xfId="1" applyNumberFormat="1" applyFont="1" applyFill="1" applyBorder="1" applyAlignment="1" applyProtection="1">
      <alignment horizontal="left" vertical="center" wrapText="1"/>
      <protection locked="0"/>
    </xf>
    <xf numFmtId="1" fontId="10" fillId="2" borderId="21" xfId="0" quotePrefix="1" applyNumberFormat="1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21" xfId="1" applyNumberFormat="1" applyFont="1" applyFill="1" applyBorder="1" applyAlignment="1" applyProtection="1">
      <alignment horizontal="left" vertical="center"/>
      <protection locked="0"/>
    </xf>
    <xf numFmtId="1" fontId="10" fillId="2" borderId="21" xfId="1" applyNumberFormat="1" applyFont="1" applyFill="1" applyBorder="1" applyAlignment="1" applyProtection="1">
      <alignment horizontal="center" vertical="center" wrapText="1"/>
      <protection locked="0"/>
    </xf>
    <xf numFmtId="43" fontId="10" fillId="2" borderId="21" xfId="1" applyFont="1" applyFill="1" applyBorder="1" applyAlignment="1" applyProtection="1">
      <alignment vertical="center" wrapText="1"/>
      <protection locked="0"/>
    </xf>
    <xf numFmtId="165" fontId="13" fillId="2" borderId="21" xfId="1" applyNumberFormat="1" applyFont="1" applyFill="1" applyBorder="1" applyAlignment="1" applyProtection="1">
      <alignment horizontal="center" vertical="center" wrapText="1"/>
    </xf>
    <xf numFmtId="165" fontId="10" fillId="2" borderId="21" xfId="1" applyNumberFormat="1" applyFont="1" applyFill="1" applyBorder="1" applyAlignment="1" applyProtection="1">
      <alignment horizontal="center" vertical="center" wrapText="1"/>
      <protection locked="0"/>
    </xf>
    <xf numFmtId="165" fontId="13" fillId="2" borderId="21" xfId="1" applyNumberFormat="1" applyFont="1" applyFill="1" applyBorder="1" applyAlignment="1">
      <alignment horizontal="center" vertical="center"/>
    </xf>
    <xf numFmtId="165" fontId="10" fillId="2" borderId="21" xfId="1" applyNumberFormat="1" applyFont="1" applyFill="1" applyBorder="1" applyAlignment="1" applyProtection="1">
      <alignment horizontal="center" vertical="center"/>
      <protection locked="0"/>
    </xf>
    <xf numFmtId="1" fontId="10" fillId="2" borderId="21" xfId="1" applyNumberFormat="1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1" fontId="13" fillId="2" borderId="6" xfId="0" quotePrefix="1" applyNumberFormat="1" applyFont="1" applyFill="1" applyBorder="1" applyAlignment="1" applyProtection="1">
      <alignment horizontal="left" vertical="center" wrapText="1"/>
      <protection locked="0"/>
    </xf>
    <xf numFmtId="1" fontId="19" fillId="2" borderId="29" xfId="0" quotePrefix="1" applyNumberFormat="1" applyFont="1" applyFill="1" applyBorder="1" applyAlignment="1" applyProtection="1">
      <alignment horizontal="left" vertical="center" wrapText="1"/>
      <protection locked="0"/>
    </xf>
    <xf numFmtId="1" fontId="19" fillId="2" borderId="30" xfId="0" quotePrefix="1" applyNumberFormat="1" applyFont="1" applyFill="1" applyBorder="1" applyAlignment="1" applyProtection="1">
      <alignment horizontal="left" vertical="center" wrapText="1"/>
      <protection locked="0"/>
    </xf>
    <xf numFmtId="172" fontId="10" fillId="2" borderId="15" xfId="1" applyNumberFormat="1" applyFont="1" applyFill="1" applyBorder="1" applyAlignment="1" applyProtection="1">
      <alignment horizontal="center" vertical="center"/>
      <protection locked="0"/>
    </xf>
    <xf numFmtId="172" fontId="10" fillId="2" borderId="16" xfId="1" applyNumberFormat="1" applyFont="1" applyFill="1" applyBorder="1" applyAlignment="1" applyProtection="1">
      <alignment horizontal="center" vertical="center"/>
      <protection locked="0"/>
    </xf>
    <xf numFmtId="172" fontId="4" fillId="2" borderId="0" xfId="0" applyNumberFormat="1" applyFont="1" applyFill="1" applyAlignment="1" applyProtection="1">
      <alignment vertical="center"/>
      <protection locked="0"/>
    </xf>
    <xf numFmtId="172" fontId="10" fillId="2" borderId="1" xfId="3" applyNumberFormat="1" applyFont="1" applyFill="1" applyBorder="1" applyAlignment="1" applyProtection="1">
      <alignment horizontal="center" vertical="center" wrapText="1"/>
      <protection locked="0"/>
    </xf>
    <xf numFmtId="172" fontId="13" fillId="3" borderId="14" xfId="1" applyNumberFormat="1" applyFont="1" applyFill="1" applyBorder="1" applyAlignment="1" applyProtection="1">
      <alignment horizontal="center" vertical="center"/>
      <protection locked="0"/>
    </xf>
    <xf numFmtId="172" fontId="19" fillId="2" borderId="0" xfId="0" quotePrefix="1" applyNumberFormat="1" applyFont="1" applyFill="1" applyAlignment="1" applyProtection="1">
      <alignment vertical="center"/>
      <protection locked="0"/>
    </xf>
    <xf numFmtId="172" fontId="19" fillId="2" borderId="1" xfId="0" quotePrefix="1" applyNumberFormat="1" applyFont="1" applyFill="1" applyBorder="1" applyAlignment="1" applyProtection="1">
      <alignment vertical="center"/>
      <protection locked="0"/>
    </xf>
    <xf numFmtId="172" fontId="10" fillId="2" borderId="17" xfId="1" applyNumberFormat="1" applyFont="1" applyFill="1" applyBorder="1" applyAlignment="1" applyProtection="1">
      <alignment horizontal="center" vertical="center"/>
      <protection locked="0"/>
    </xf>
    <xf numFmtId="172" fontId="19" fillId="2" borderId="4" xfId="0" quotePrefix="1" applyNumberFormat="1" applyFont="1" applyFill="1" applyBorder="1" applyAlignment="1" applyProtection="1">
      <alignment vertical="center"/>
      <protection locked="0"/>
    </xf>
    <xf numFmtId="172" fontId="13" fillId="2" borderId="0" xfId="1" applyNumberFormat="1" applyFont="1" applyFill="1" applyBorder="1" applyAlignment="1" applyProtection="1">
      <alignment horizontal="center" vertical="center"/>
      <protection locked="0"/>
    </xf>
    <xf numFmtId="172" fontId="14" fillId="2" borderId="0" xfId="0" applyNumberFormat="1" applyFont="1" applyFill="1" applyAlignment="1">
      <alignment vertical="center"/>
    </xf>
    <xf numFmtId="172" fontId="13" fillId="2" borderId="0" xfId="0" applyNumberFormat="1" applyFont="1" applyFill="1" applyAlignment="1">
      <alignment vertical="center" wrapText="1"/>
    </xf>
    <xf numFmtId="172" fontId="14" fillId="0" borderId="0" xfId="0" applyNumberFormat="1" applyFont="1" applyAlignment="1">
      <alignment vertical="center"/>
    </xf>
    <xf numFmtId="172" fontId="16" fillId="0" borderId="0" xfId="0" applyNumberFormat="1" applyFont="1" applyAlignment="1">
      <alignment vertical="center"/>
    </xf>
    <xf numFmtId="172" fontId="27" fillId="0" borderId="0" xfId="0" applyNumberFormat="1" applyFont="1" applyAlignment="1">
      <alignment vertical="center"/>
    </xf>
    <xf numFmtId="172" fontId="28" fillId="0" borderId="0" xfId="0" applyNumberFormat="1" applyFont="1" applyAlignment="1">
      <alignment vertical="center"/>
    </xf>
    <xf numFmtId="15" fontId="2" fillId="2" borderId="40" xfId="0" applyNumberFormat="1" applyFont="1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38" fillId="2" borderId="0" xfId="0" applyFont="1" applyFill="1" applyAlignment="1">
      <alignment horizontal="center"/>
    </xf>
    <xf numFmtId="43" fontId="27" fillId="0" borderId="0" xfId="0" applyNumberFormat="1" applyFont="1" applyAlignment="1">
      <alignment vertical="center"/>
    </xf>
    <xf numFmtId="172" fontId="27" fillId="2" borderId="15" xfId="1" applyNumberFormat="1" applyFont="1" applyFill="1" applyBorder="1" applyAlignment="1" applyProtection="1">
      <alignment horizontal="center" vertical="center"/>
      <protection locked="0"/>
    </xf>
    <xf numFmtId="43" fontId="21" fillId="0" borderId="0" xfId="1" applyFont="1" applyFill="1" applyBorder="1" applyAlignment="1" applyProtection="1">
      <alignment vertical="center"/>
      <protection locked="0"/>
    </xf>
    <xf numFmtId="0" fontId="16" fillId="2" borderId="0" xfId="0" applyFont="1" applyFill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21" fillId="2" borderId="0" xfId="0" applyFont="1" applyFill="1" applyAlignment="1" applyProtection="1">
      <alignment vertical="center" wrapText="1"/>
      <protection locked="0"/>
    </xf>
    <xf numFmtId="165" fontId="21" fillId="0" borderId="0" xfId="0" applyNumberFormat="1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14" fillId="2" borderId="0" xfId="0" applyFont="1" applyFill="1" applyAlignment="1" applyProtection="1">
      <alignment vertical="center" wrapText="1"/>
      <protection locked="0"/>
    </xf>
    <xf numFmtId="43" fontId="21" fillId="2" borderId="0" xfId="0" applyNumberFormat="1" applyFont="1" applyFill="1" applyAlignment="1">
      <alignment vertical="center" wrapText="1"/>
    </xf>
    <xf numFmtId="43" fontId="21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5" fontId="27" fillId="0" borderId="0" xfId="0" applyNumberFormat="1" applyFont="1" applyAlignment="1">
      <alignment horizontal="center" vertical="center"/>
    </xf>
    <xf numFmtId="165" fontId="13" fillId="2" borderId="0" xfId="1" applyNumberFormat="1" applyFont="1" applyFill="1" applyBorder="1" applyAlignment="1" applyProtection="1">
      <alignment horizontal="right"/>
      <protection locked="0"/>
    </xf>
    <xf numFmtId="165" fontId="19" fillId="2" borderId="38" xfId="1" quotePrefix="1" applyNumberFormat="1" applyFont="1" applyFill="1" applyBorder="1" applyAlignment="1" applyProtection="1">
      <alignment vertical="center"/>
      <protection locked="0"/>
    </xf>
    <xf numFmtId="165" fontId="13" fillId="2" borderId="0" xfId="1" applyNumberFormat="1" applyFont="1" applyFill="1" applyBorder="1" applyAlignment="1" applyProtection="1">
      <alignment horizontal="center" vertical="center"/>
      <protection locked="0"/>
    </xf>
    <xf numFmtId="165" fontId="25" fillId="2" borderId="0" xfId="1" applyNumberFormat="1" applyFont="1" applyFill="1" applyBorder="1" applyAlignment="1">
      <alignment horizontal="center" vertical="center"/>
    </xf>
    <xf numFmtId="165" fontId="25" fillId="0" borderId="0" xfId="1" applyNumberFormat="1" applyFont="1" applyFill="1" applyBorder="1" applyAlignment="1">
      <alignment horizontal="center" vertical="center"/>
    </xf>
    <xf numFmtId="165" fontId="16" fillId="0" borderId="0" xfId="0" applyNumberFormat="1" applyFont="1" applyAlignment="1">
      <alignment vertical="center"/>
    </xf>
    <xf numFmtId="165" fontId="10" fillId="2" borderId="0" xfId="0" applyNumberFormat="1" applyFont="1" applyFill="1" applyAlignment="1">
      <alignment vertical="center"/>
    </xf>
    <xf numFmtId="43" fontId="10" fillId="2" borderId="16" xfId="1" applyFont="1" applyFill="1" applyBorder="1" applyAlignment="1" applyProtection="1">
      <alignment horizontal="center" vertical="center"/>
      <protection locked="0"/>
    </xf>
    <xf numFmtId="165" fontId="21" fillId="2" borderId="0" xfId="0" applyNumberFormat="1" applyFont="1" applyFill="1" applyAlignment="1" applyProtection="1">
      <alignment vertical="center" wrapText="1"/>
      <protection locked="0"/>
    </xf>
    <xf numFmtId="0" fontId="52" fillId="2" borderId="49" xfId="0" applyFont="1" applyFill="1" applyBorder="1" applyAlignment="1">
      <alignment horizontal="center" vertical="center" wrapText="1"/>
    </xf>
    <xf numFmtId="0" fontId="45" fillId="2" borderId="0" xfId="9" applyFont="1" applyFill="1"/>
    <xf numFmtId="0" fontId="53" fillId="2" borderId="0" xfId="9" applyFont="1" applyFill="1"/>
    <xf numFmtId="0" fontId="53" fillId="2" borderId="29" xfId="9" applyFont="1" applyFill="1" applyBorder="1" applyAlignment="1">
      <alignment horizontal="center" vertical="center"/>
    </xf>
    <xf numFmtId="0" fontId="53" fillId="2" borderId="29" xfId="9" applyFont="1" applyFill="1" applyBorder="1" applyAlignment="1">
      <alignment vertical="center"/>
    </xf>
    <xf numFmtId="0" fontId="53" fillId="2" borderId="29" xfId="9" applyFont="1" applyFill="1" applyBorder="1" applyAlignment="1">
      <alignment vertical="center" wrapText="1"/>
    </xf>
    <xf numFmtId="0" fontId="53" fillId="2" borderId="29" xfId="9" applyFont="1" applyFill="1" applyBorder="1" applyAlignment="1">
      <alignment horizontal="center" vertical="center" wrapText="1"/>
    </xf>
    <xf numFmtId="165" fontId="40" fillId="2" borderId="29" xfId="1" applyNumberFormat="1" applyFont="1" applyFill="1" applyBorder="1" applyAlignment="1">
      <alignment horizontal="center" vertical="center"/>
    </xf>
    <xf numFmtId="0" fontId="53" fillId="2" borderId="0" xfId="9" applyFont="1" applyFill="1" applyAlignment="1">
      <alignment vertical="center"/>
    </xf>
    <xf numFmtId="170" fontId="53" fillId="2" borderId="0" xfId="9" applyNumberFormat="1" applyFont="1" applyFill="1" applyAlignment="1">
      <alignment vertical="center"/>
    </xf>
    <xf numFmtId="0" fontId="53" fillId="2" borderId="36" xfId="9" applyFont="1" applyFill="1" applyBorder="1" applyAlignment="1">
      <alignment horizontal="center" vertical="center"/>
    </xf>
    <xf numFmtId="0" fontId="53" fillId="2" borderId="36" xfId="9" applyFont="1" applyFill="1" applyBorder="1" applyAlignment="1">
      <alignment vertical="center"/>
    </xf>
    <xf numFmtId="0" fontId="53" fillId="2" borderId="36" xfId="9" applyFont="1" applyFill="1" applyBorder="1" applyAlignment="1">
      <alignment vertical="center" wrapText="1"/>
    </xf>
    <xf numFmtId="0" fontId="53" fillId="2" borderId="36" xfId="9" applyFont="1" applyFill="1" applyBorder="1" applyAlignment="1">
      <alignment horizontal="center" vertical="center" wrapText="1"/>
    </xf>
    <xf numFmtId="165" fontId="40" fillId="2" borderId="36" xfId="1" applyNumberFormat="1" applyFont="1" applyFill="1" applyBorder="1" applyAlignment="1">
      <alignment horizontal="center" vertical="center"/>
    </xf>
    <xf numFmtId="0" fontId="43" fillId="2" borderId="0" xfId="9" applyFont="1" applyFill="1" applyAlignment="1">
      <alignment vertical="center"/>
    </xf>
    <xf numFmtId="165" fontId="43" fillId="2" borderId="0" xfId="9" applyNumberFormat="1" applyFont="1" applyFill="1" applyAlignment="1">
      <alignment vertical="center"/>
    </xf>
    <xf numFmtId="0" fontId="53" fillId="2" borderId="0" xfId="9" applyFont="1" applyFill="1" applyAlignment="1">
      <alignment horizontal="center" vertical="center"/>
    </xf>
    <xf numFmtId="0" fontId="53" fillId="2" borderId="0" xfId="9" applyFont="1" applyFill="1" applyAlignment="1">
      <alignment horizontal="center" vertical="center" wrapText="1"/>
    </xf>
    <xf numFmtId="165" fontId="40" fillId="2" borderId="0" xfId="1" applyNumberFormat="1" applyFont="1" applyFill="1" applyAlignment="1"/>
    <xf numFmtId="0" fontId="45" fillId="2" borderId="0" xfId="9" applyFont="1" applyFill="1" applyAlignment="1">
      <alignment vertical="center"/>
    </xf>
    <xf numFmtId="0" fontId="45" fillId="2" borderId="0" xfId="9" applyFont="1" applyFill="1" applyAlignment="1">
      <alignment horizontal="center" vertical="center" wrapText="1"/>
    </xf>
    <xf numFmtId="172" fontId="10" fillId="2" borderId="6" xfId="1" applyNumberFormat="1" applyFont="1" applyFill="1" applyBorder="1" applyAlignment="1" applyProtection="1">
      <alignment horizontal="center" vertical="center"/>
      <protection locked="0"/>
    </xf>
    <xf numFmtId="165" fontId="13" fillId="0" borderId="15" xfId="1" applyNumberFormat="1" applyFont="1" applyFill="1" applyBorder="1" applyAlignment="1" applyProtection="1">
      <alignment horizontal="center" vertical="center" wrapText="1"/>
      <protection locked="0"/>
    </xf>
    <xf numFmtId="165" fontId="10" fillId="2" borderId="7" xfId="1" applyNumberFormat="1" applyFont="1" applyFill="1" applyBorder="1" applyAlignment="1" applyProtection="1">
      <alignment horizontal="center" vertical="center"/>
      <protection locked="0"/>
    </xf>
    <xf numFmtId="1" fontId="13" fillId="0" borderId="9" xfId="0" applyNumberFormat="1" applyFont="1" applyBorder="1" applyAlignment="1" applyProtection="1">
      <alignment horizontal="center" vertical="center" wrapText="1"/>
      <protection locked="0"/>
    </xf>
    <xf numFmtId="1" fontId="13" fillId="0" borderId="11" xfId="0" applyNumberFormat="1" applyFont="1" applyBorder="1" applyAlignment="1" applyProtection="1">
      <alignment horizontal="center" vertical="center" wrapText="1"/>
      <protection locked="0"/>
    </xf>
    <xf numFmtId="1" fontId="13" fillId="0" borderId="9" xfId="0" applyNumberFormat="1" applyFont="1" applyBorder="1" applyAlignment="1" applyProtection="1">
      <alignment horizontal="left" vertical="center" wrapText="1"/>
      <protection locked="0"/>
    </xf>
    <xf numFmtId="1" fontId="13" fillId="0" borderId="11" xfId="0" applyNumberFormat="1" applyFont="1" applyBorder="1" applyAlignment="1" applyProtection="1">
      <alignment horizontal="left" vertical="center" wrapText="1"/>
      <protection locked="0"/>
    </xf>
    <xf numFmtId="1" fontId="13" fillId="0" borderId="12" xfId="0" applyNumberFormat="1" applyFont="1" applyBorder="1" applyAlignment="1" applyProtection="1">
      <alignment horizontal="left" vertical="center" wrapText="1"/>
      <protection locked="0"/>
    </xf>
    <xf numFmtId="1" fontId="13" fillId="0" borderId="8" xfId="0" quotePrefix="1" applyNumberFormat="1" applyFont="1" applyBorder="1" applyAlignment="1" applyProtection="1">
      <alignment horizontal="center" vertical="center" wrapText="1"/>
      <protection locked="0"/>
    </xf>
    <xf numFmtId="1" fontId="13" fillId="0" borderId="10" xfId="0" quotePrefix="1" applyNumberFormat="1" applyFont="1" applyBorder="1" applyAlignment="1" applyProtection="1">
      <alignment horizontal="center" vertical="center" wrapText="1"/>
      <protection locked="0"/>
    </xf>
    <xf numFmtId="165" fontId="9" fillId="2" borderId="0" xfId="0" applyNumberFormat="1" applyFont="1" applyFill="1" applyAlignment="1" applyProtection="1">
      <alignment horizontal="left" vertical="center"/>
      <protection locked="0"/>
    </xf>
    <xf numFmtId="1" fontId="13" fillId="2" borderId="0" xfId="0" applyNumberFormat="1" applyFont="1" applyFill="1" applyAlignment="1" applyProtection="1">
      <alignment horizontal="center" vertical="center" wrapText="1"/>
      <protection locked="0"/>
    </xf>
    <xf numFmtId="165" fontId="9" fillId="2" borderId="0" xfId="1" applyNumberFormat="1" applyFont="1" applyFill="1" applyBorder="1" applyAlignment="1" applyProtection="1">
      <alignment vertical="center"/>
      <protection locked="0"/>
    </xf>
    <xf numFmtId="165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65" fontId="12" fillId="2" borderId="0" xfId="0" applyNumberFormat="1" applyFont="1" applyFill="1" applyAlignment="1">
      <alignment vertical="center"/>
    </xf>
    <xf numFmtId="165" fontId="19" fillId="2" borderId="0" xfId="1" quotePrefix="1" applyNumberFormat="1" applyFont="1" applyFill="1" applyBorder="1" applyAlignment="1" applyProtection="1">
      <alignment vertical="center"/>
      <protection locked="0"/>
    </xf>
    <xf numFmtId="165" fontId="12" fillId="2" borderId="0" xfId="1" applyNumberFormat="1" applyFont="1" applyFill="1" applyAlignment="1">
      <alignment horizontal="center" vertical="center"/>
    </xf>
    <xf numFmtId="165" fontId="10" fillId="2" borderId="6" xfId="1" applyNumberFormat="1" applyFont="1" applyFill="1" applyBorder="1" applyAlignment="1" applyProtection="1">
      <alignment horizontal="center" vertical="center"/>
      <protection locked="0"/>
    </xf>
    <xf numFmtId="165" fontId="13" fillId="2" borderId="6" xfId="1" applyNumberFormat="1" applyFont="1" applyFill="1" applyBorder="1" applyAlignment="1">
      <alignment horizontal="center" vertical="center"/>
    </xf>
    <xf numFmtId="165" fontId="10" fillId="2" borderId="0" xfId="1" applyNumberFormat="1" applyFont="1" applyFill="1" applyAlignment="1">
      <alignment horizontal="center"/>
    </xf>
    <xf numFmtId="165" fontId="48" fillId="2" borderId="0" xfId="1" applyNumberFormat="1" applyFont="1" applyFill="1" applyAlignment="1">
      <alignment horizontal="center"/>
    </xf>
    <xf numFmtId="165" fontId="37" fillId="2" borderId="0" xfId="1" applyNumberFormat="1" applyFont="1" applyFill="1" applyAlignment="1">
      <alignment horizontal="center" vertical="center"/>
    </xf>
    <xf numFmtId="165" fontId="47" fillId="2" borderId="6" xfId="1" applyNumberFormat="1" applyFont="1" applyFill="1" applyBorder="1" applyAlignment="1">
      <alignment horizontal="center" vertical="center"/>
    </xf>
    <xf numFmtId="172" fontId="14" fillId="2" borderId="26" xfId="0" applyNumberFormat="1" applyFont="1" applyFill="1" applyBorder="1" applyAlignment="1">
      <alignment vertical="center"/>
    </xf>
    <xf numFmtId="0" fontId="47" fillId="2" borderId="6" xfId="0" applyFont="1" applyFill="1" applyBorder="1" applyAlignment="1">
      <alignment horizontal="center" vertical="center"/>
    </xf>
    <xf numFmtId="1" fontId="10" fillId="2" borderId="0" xfId="0" applyNumberFormat="1" applyFont="1" applyFill="1" applyAlignment="1" applyProtection="1">
      <alignment horizontal="center" vertical="center"/>
      <protection locked="0"/>
    </xf>
    <xf numFmtId="165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43" fontId="13" fillId="2" borderId="0" xfId="1" applyFont="1" applyFill="1" applyBorder="1" applyAlignment="1" applyProtection="1">
      <alignment horizontal="right"/>
      <protection locked="0"/>
    </xf>
    <xf numFmtId="43" fontId="10" fillId="2" borderId="1" xfId="1" applyFont="1" applyFill="1" applyBorder="1" applyAlignment="1" applyProtection="1">
      <alignment horizontal="center" vertical="center"/>
      <protection locked="0"/>
    </xf>
    <xf numFmtId="43" fontId="10" fillId="0" borderId="17" xfId="1" applyFont="1" applyFill="1" applyBorder="1" applyAlignment="1" applyProtection="1">
      <alignment horizontal="center" vertical="center"/>
      <protection locked="0"/>
    </xf>
    <xf numFmtId="43" fontId="10" fillId="0" borderId="16" xfId="1" applyFont="1" applyFill="1" applyBorder="1" applyAlignment="1" applyProtection="1">
      <alignment horizontal="center" vertical="center"/>
      <protection locked="0"/>
    </xf>
    <xf numFmtId="43" fontId="19" fillId="2" borderId="38" xfId="1" quotePrefix="1" applyFont="1" applyFill="1" applyBorder="1" applyAlignment="1" applyProtection="1">
      <alignment vertical="center"/>
      <protection locked="0"/>
    </xf>
    <xf numFmtId="43" fontId="19" fillId="2" borderId="25" xfId="1" quotePrefix="1" applyFont="1" applyFill="1" applyBorder="1" applyAlignment="1" applyProtection="1">
      <alignment vertical="center"/>
      <protection locked="0"/>
    </xf>
    <xf numFmtId="43" fontId="13" fillId="2" borderId="0" xfId="1" applyFont="1" applyFill="1" applyBorder="1" applyAlignment="1" applyProtection="1">
      <alignment horizontal="center" vertical="center"/>
      <protection locked="0"/>
    </xf>
    <xf numFmtId="43" fontId="9" fillId="2" borderId="0" xfId="1" applyFont="1" applyFill="1" applyAlignment="1">
      <alignment vertical="center"/>
    </xf>
    <xf numFmtId="43" fontId="9" fillId="2" borderId="28" xfId="1" applyFont="1" applyFill="1" applyBorder="1" applyAlignment="1">
      <alignment vertical="center"/>
    </xf>
    <xf numFmtId="43" fontId="9" fillId="2" borderId="0" xfId="1" applyFont="1" applyFill="1" applyBorder="1" applyAlignment="1">
      <alignment vertical="center"/>
    </xf>
    <xf numFmtId="43" fontId="25" fillId="2" borderId="0" xfId="1" applyFont="1" applyFill="1" applyBorder="1" applyAlignment="1">
      <alignment horizontal="center" vertical="center"/>
    </xf>
    <xf numFmtId="43" fontId="13" fillId="2" borderId="0" xfId="1" applyFont="1" applyFill="1" applyBorder="1" applyAlignment="1">
      <alignment vertical="center" wrapText="1"/>
    </xf>
    <xf numFmtId="43" fontId="25" fillId="0" borderId="0" xfId="1" applyFont="1" applyFill="1" applyBorder="1" applyAlignment="1">
      <alignment horizontal="center" vertical="center"/>
    </xf>
    <xf numFmtId="0" fontId="24" fillId="2" borderId="6" xfId="4" applyFont="1" applyFill="1" applyBorder="1" applyAlignment="1">
      <alignment horizontal="center" vertical="center"/>
    </xf>
    <xf numFmtId="1" fontId="10" fillId="2" borderId="6" xfId="1" applyNumberFormat="1" applyFont="1" applyFill="1" applyBorder="1" applyAlignment="1" applyProtection="1">
      <alignment horizontal="left" vertical="center"/>
      <protection locked="0"/>
    </xf>
    <xf numFmtId="0" fontId="48" fillId="2" borderId="21" xfId="0" quotePrefix="1" applyFont="1" applyFill="1" applyBorder="1" applyAlignment="1">
      <alignment horizontal="center" vertical="center"/>
    </xf>
    <xf numFmtId="0" fontId="48" fillId="2" borderId="50" xfId="0" quotePrefix="1" applyFont="1" applyFill="1" applyBorder="1" applyAlignment="1">
      <alignment horizontal="center" vertical="center"/>
    </xf>
    <xf numFmtId="0" fontId="10" fillId="2" borderId="50" xfId="0" applyFont="1" applyFill="1" applyBorder="1" applyAlignment="1" applyProtection="1">
      <alignment horizontal="center" vertical="center" wrapText="1"/>
      <protection locked="0"/>
    </xf>
    <xf numFmtId="1" fontId="10" fillId="2" borderId="50" xfId="1" applyNumberFormat="1" applyFont="1" applyFill="1" applyBorder="1" applyAlignment="1" applyProtection="1">
      <alignment horizontal="left" vertical="center"/>
      <protection locked="0"/>
    </xf>
    <xf numFmtId="1" fontId="10" fillId="2" borderId="50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50" xfId="1" applyNumberFormat="1" applyFont="1" applyFill="1" applyBorder="1" applyAlignment="1" applyProtection="1">
      <alignment horizontal="center" vertical="center"/>
      <protection locked="0"/>
    </xf>
    <xf numFmtId="165" fontId="10" fillId="2" borderId="50" xfId="1" applyNumberFormat="1" applyFont="1" applyFill="1" applyBorder="1" applyAlignment="1" applyProtection="1">
      <alignment horizontal="center" vertical="center"/>
      <protection locked="0"/>
    </xf>
    <xf numFmtId="0" fontId="48" fillId="2" borderId="50" xfId="0" applyFont="1" applyFill="1" applyBorder="1" applyAlignment="1">
      <alignment vertical="center"/>
    </xf>
    <xf numFmtId="0" fontId="12" fillId="2" borderId="50" xfId="0" applyFont="1" applyFill="1" applyBorder="1" applyAlignment="1" applyProtection="1">
      <alignment horizontal="center" vertical="center" wrapText="1"/>
      <protection locked="0"/>
    </xf>
    <xf numFmtId="0" fontId="10" fillId="2" borderId="50" xfId="0" applyFont="1" applyFill="1" applyBorder="1" applyAlignment="1" applyProtection="1">
      <alignment horizontal="center" vertical="center"/>
      <protection locked="0"/>
    </xf>
    <xf numFmtId="0" fontId="48" fillId="2" borderId="55" xfId="0" applyFont="1" applyFill="1" applyBorder="1" applyAlignment="1">
      <alignment vertical="center"/>
    </xf>
    <xf numFmtId="0" fontId="47" fillId="2" borderId="0" xfId="0" applyFont="1" applyFill="1"/>
    <xf numFmtId="165" fontId="47" fillId="2" borderId="55" xfId="0" applyNumberFormat="1" applyFont="1" applyFill="1" applyBorder="1" applyAlignment="1">
      <alignment vertical="center"/>
    </xf>
    <xf numFmtId="1" fontId="49" fillId="2" borderId="0" xfId="0" applyNumberFormat="1" applyFont="1" applyFill="1" applyAlignment="1" applyProtection="1">
      <alignment horizontal="center" vertical="center"/>
      <protection locked="0"/>
    </xf>
    <xf numFmtId="0" fontId="50" fillId="2" borderId="0" xfId="0" applyFont="1" applyFill="1" applyAlignment="1">
      <alignment horizontal="center" vertical="center"/>
    </xf>
    <xf numFmtId="0" fontId="36" fillId="0" borderId="0" xfId="6" applyAlignment="1">
      <alignment vertical="center"/>
    </xf>
    <xf numFmtId="0" fontId="11" fillId="0" borderId="0" xfId="6" applyFont="1" applyAlignment="1">
      <alignment horizontal="center" vertical="center"/>
    </xf>
    <xf numFmtId="0" fontId="36" fillId="0" borderId="0" xfId="6" applyAlignment="1">
      <alignment horizontal="center" vertical="center"/>
    </xf>
    <xf numFmtId="0" fontId="57" fillId="0" borderId="0" xfId="6" applyFont="1" applyAlignment="1">
      <alignment vertical="center"/>
    </xf>
    <xf numFmtId="165" fontId="59" fillId="0" borderId="0" xfId="6" applyNumberFormat="1" applyFont="1" applyAlignment="1">
      <alignment horizontal="left" vertical="center"/>
    </xf>
    <xf numFmtId="0" fontId="57" fillId="0" borderId="0" xfId="6" applyFont="1" applyAlignment="1">
      <alignment horizontal="center" vertical="center"/>
    </xf>
    <xf numFmtId="49" fontId="60" fillId="0" borderId="0" xfId="6" applyNumberFormat="1" applyFont="1" applyAlignment="1">
      <alignment horizontal="left" vertical="center"/>
    </xf>
    <xf numFmtId="1" fontId="58" fillId="0" borderId="0" xfId="6" applyNumberFormat="1" applyFont="1" applyAlignment="1">
      <alignment horizontal="right" vertical="center"/>
    </xf>
    <xf numFmtId="0" fontId="61" fillId="0" borderId="0" xfId="15" applyFont="1" applyBorder="1" applyAlignment="1">
      <alignment horizontal="center" vertical="center" wrapText="1"/>
    </xf>
    <xf numFmtId="165" fontId="62" fillId="0" borderId="23" xfId="1" applyNumberFormat="1" applyFont="1" applyBorder="1" applyAlignment="1">
      <alignment vertical="center"/>
    </xf>
    <xf numFmtId="165" fontId="11" fillId="0" borderId="6" xfId="6" applyNumberFormat="1" applyFont="1" applyBorder="1" applyAlignment="1">
      <alignment vertical="center"/>
    </xf>
    <xf numFmtId="0" fontId="63" fillId="0" borderId="0" xfId="6" applyFont="1" applyAlignment="1">
      <alignment horizontal="right" vertical="center"/>
    </xf>
    <xf numFmtId="0" fontId="64" fillId="0" borderId="0" xfId="6" applyFont="1" applyAlignment="1">
      <alignment vertical="center"/>
    </xf>
    <xf numFmtId="165" fontId="11" fillId="0" borderId="0" xfId="6" applyNumberFormat="1" applyFont="1" applyAlignment="1">
      <alignment vertical="center"/>
    </xf>
    <xf numFmtId="0" fontId="11" fillId="0" borderId="0" xfId="6" applyFont="1" applyAlignment="1">
      <alignment vertical="center"/>
    </xf>
    <xf numFmtId="0" fontId="59" fillId="0" borderId="0" xfId="6" applyFont="1" applyAlignment="1">
      <alignment vertical="center"/>
    </xf>
    <xf numFmtId="165" fontId="57" fillId="0" borderId="0" xfId="6" applyNumberFormat="1" applyFont="1" applyAlignment="1">
      <alignment vertical="center"/>
    </xf>
    <xf numFmtId="49" fontId="62" fillId="0" borderId="57" xfId="6" applyNumberFormat="1" applyFont="1" applyBorder="1" applyAlignment="1">
      <alignment horizontal="center" vertical="center"/>
    </xf>
    <xf numFmtId="0" fontId="62" fillId="0" borderId="57" xfId="6" applyFont="1" applyBorder="1" applyAlignment="1">
      <alignment vertical="center"/>
    </xf>
    <xf numFmtId="0" fontId="62" fillId="0" borderId="0" xfId="6" applyFont="1" applyAlignment="1">
      <alignment vertical="center"/>
    </xf>
    <xf numFmtId="165" fontId="62" fillId="0" borderId="31" xfId="1" applyNumberFormat="1" applyFont="1" applyBorder="1" applyAlignment="1">
      <alignment horizontal="center" vertical="center"/>
    </xf>
    <xf numFmtId="165" fontId="67" fillId="0" borderId="23" xfId="1" applyNumberFormat="1" applyFont="1" applyBorder="1" applyAlignment="1">
      <alignment vertical="center"/>
    </xf>
    <xf numFmtId="165" fontId="36" fillId="0" borderId="0" xfId="6" applyNumberFormat="1" applyAlignment="1">
      <alignment horizontal="center" vertical="center"/>
    </xf>
    <xf numFmtId="165" fontId="62" fillId="0" borderId="0" xfId="1" applyNumberFormat="1" applyFont="1" applyAlignment="1">
      <alignment vertical="center"/>
    </xf>
    <xf numFmtId="165" fontId="36" fillId="0" borderId="0" xfId="6" applyNumberFormat="1" applyAlignment="1">
      <alignment vertical="center"/>
    </xf>
    <xf numFmtId="43" fontId="36" fillId="0" borderId="0" xfId="6" applyNumberFormat="1" applyAlignment="1">
      <alignment vertical="center"/>
    </xf>
    <xf numFmtId="165" fontId="62" fillId="0" borderId="57" xfId="1" applyNumberFormat="1" applyFont="1" applyBorder="1" applyAlignment="1">
      <alignment vertical="center"/>
    </xf>
    <xf numFmtId="165" fontId="62" fillId="0" borderId="32" xfId="1" applyNumberFormat="1" applyFont="1" applyBorder="1" applyAlignment="1">
      <alignment vertical="center"/>
    </xf>
    <xf numFmtId="165" fontId="62" fillId="0" borderId="7" xfId="1" applyNumberFormat="1" applyFont="1" applyBorder="1" applyAlignment="1">
      <alignment vertical="center"/>
    </xf>
    <xf numFmtId="49" fontId="65" fillId="0" borderId="57" xfId="6" quotePrefix="1" applyNumberFormat="1" applyFont="1" applyBorder="1" applyAlignment="1">
      <alignment horizontal="center" vertical="center"/>
    </xf>
    <xf numFmtId="0" fontId="65" fillId="0" borderId="57" xfId="6" applyFont="1" applyBorder="1" applyAlignment="1">
      <alignment vertical="center"/>
    </xf>
    <xf numFmtId="0" fontId="65" fillId="0" borderId="0" xfId="6" applyFont="1" applyAlignment="1">
      <alignment vertical="center"/>
    </xf>
    <xf numFmtId="165" fontId="65" fillId="0" borderId="0" xfId="1" applyNumberFormat="1" applyFont="1" applyAlignment="1">
      <alignment vertical="center"/>
    </xf>
    <xf numFmtId="165" fontId="68" fillId="0" borderId="23" xfId="1" applyNumberFormat="1" applyFont="1" applyBorder="1" applyAlignment="1">
      <alignment vertical="center"/>
    </xf>
    <xf numFmtId="49" fontId="62" fillId="0" borderId="57" xfId="6" quotePrefix="1" applyNumberFormat="1" applyFont="1" applyBorder="1" applyAlignment="1">
      <alignment horizontal="center" vertical="center"/>
    </xf>
    <xf numFmtId="0" fontId="62" fillId="0" borderId="57" xfId="6" applyFont="1" applyBorder="1" applyAlignment="1">
      <alignment horizontal="left" vertical="center"/>
    </xf>
    <xf numFmtId="165" fontId="62" fillId="0" borderId="2" xfId="1" applyNumberFormat="1" applyFont="1" applyBorder="1" applyAlignment="1">
      <alignment vertical="center"/>
    </xf>
    <xf numFmtId="165" fontId="65" fillId="0" borderId="2" xfId="1" applyNumberFormat="1" applyFont="1" applyBorder="1" applyAlignment="1">
      <alignment vertical="center"/>
    </xf>
    <xf numFmtId="49" fontId="69" fillId="0" borderId="57" xfId="6" quotePrefix="1" applyNumberFormat="1" applyFont="1" applyBorder="1" applyAlignment="1">
      <alignment horizontal="center" vertical="center"/>
    </xf>
    <xf numFmtId="0" fontId="70" fillId="0" borderId="57" xfId="6" applyFont="1" applyBorder="1" applyAlignment="1">
      <alignment vertical="center"/>
    </xf>
    <xf numFmtId="0" fontId="69" fillId="0" borderId="0" xfId="6" applyFont="1" applyAlignment="1">
      <alignment vertical="center"/>
    </xf>
    <xf numFmtId="165" fontId="69" fillId="0" borderId="0" xfId="1" applyNumberFormat="1" applyFont="1" applyAlignment="1">
      <alignment vertical="center"/>
    </xf>
    <xf numFmtId="165" fontId="69" fillId="0" borderId="23" xfId="1" applyNumberFormat="1" applyFont="1" applyBorder="1" applyAlignment="1">
      <alignment vertical="center"/>
    </xf>
    <xf numFmtId="0" fontId="71" fillId="0" borderId="0" xfId="6" applyFont="1" applyAlignment="1">
      <alignment vertical="center"/>
    </xf>
    <xf numFmtId="168" fontId="62" fillId="0" borderId="0" xfId="6" applyNumberFormat="1" applyFont="1" applyAlignment="1">
      <alignment vertical="center"/>
    </xf>
    <xf numFmtId="168" fontId="62" fillId="0" borderId="0" xfId="5" applyNumberFormat="1" applyFont="1" applyAlignment="1">
      <alignment vertical="center"/>
    </xf>
    <xf numFmtId="165" fontId="62" fillId="0" borderId="7" xfId="5" applyNumberFormat="1" applyFont="1" applyBorder="1" applyAlignment="1">
      <alignment vertical="center"/>
    </xf>
    <xf numFmtId="168" fontId="65" fillId="0" borderId="0" xfId="5" applyNumberFormat="1" applyFont="1" applyAlignment="1">
      <alignment vertical="center"/>
    </xf>
    <xf numFmtId="168" fontId="65" fillId="0" borderId="23" xfId="5" applyNumberFormat="1" applyFont="1" applyBorder="1" applyAlignment="1">
      <alignment vertical="center"/>
    </xf>
    <xf numFmtId="0" fontId="62" fillId="0" borderId="57" xfId="6" quotePrefix="1" applyFont="1" applyBorder="1" applyAlignment="1">
      <alignment horizontal="center" vertical="center"/>
    </xf>
    <xf numFmtId="0" fontId="72" fillId="0" borderId="57" xfId="6" applyFont="1" applyBorder="1" applyAlignment="1">
      <alignment vertical="center"/>
    </xf>
    <xf numFmtId="168" fontId="62" fillId="0" borderId="23" xfId="5" applyNumberFormat="1" applyFont="1" applyBorder="1" applyAlignment="1">
      <alignment vertical="center"/>
    </xf>
    <xf numFmtId="49" fontId="62" fillId="0" borderId="57" xfId="6" applyNumberFormat="1" applyFont="1" applyBorder="1" applyAlignment="1">
      <alignment horizontal="center" vertical="center" wrapText="1"/>
    </xf>
    <xf numFmtId="0" fontId="62" fillId="0" borderId="57" xfId="6" applyFont="1" applyBorder="1" applyAlignment="1">
      <alignment vertical="center" wrapText="1"/>
    </xf>
    <xf numFmtId="0" fontId="62" fillId="0" borderId="0" xfId="6" applyFont="1" applyAlignment="1">
      <alignment vertical="center" wrapText="1"/>
    </xf>
    <xf numFmtId="0" fontId="62" fillId="0" borderId="0" xfId="6" applyFont="1" applyAlignment="1">
      <alignment horizontal="center" vertical="center" wrapText="1"/>
    </xf>
    <xf numFmtId="168" fontId="62" fillId="0" borderId="0" xfId="5" applyNumberFormat="1" applyFont="1" applyAlignment="1">
      <alignment horizontal="center" vertical="center" wrapText="1"/>
    </xf>
    <xf numFmtId="168" fontId="62" fillId="0" borderId="23" xfId="5" applyNumberFormat="1" applyFont="1" applyBorder="1" applyAlignment="1">
      <alignment vertical="center" wrapText="1"/>
    </xf>
    <xf numFmtId="0" fontId="36" fillId="0" borderId="0" xfId="6" applyAlignment="1">
      <alignment vertical="center" wrapText="1"/>
    </xf>
    <xf numFmtId="43" fontId="62" fillId="0" borderId="57" xfId="5" applyFont="1" applyBorder="1" applyAlignment="1">
      <alignment vertical="center"/>
    </xf>
    <xf numFmtId="165" fontId="62" fillId="0" borderId="0" xfId="5" applyNumberFormat="1" applyFont="1" applyAlignment="1">
      <alignment vertical="center"/>
    </xf>
    <xf numFmtId="9" fontId="62" fillId="0" borderId="0" xfId="7" applyFont="1" applyAlignment="1">
      <alignment horizontal="center" vertical="center"/>
    </xf>
    <xf numFmtId="168" fontId="62" fillId="0" borderId="33" xfId="5" applyNumberFormat="1" applyFont="1" applyBorder="1" applyAlignment="1">
      <alignment vertical="center"/>
    </xf>
    <xf numFmtId="168" fontId="62" fillId="0" borderId="57" xfId="5" applyNumberFormat="1" applyFont="1" applyBorder="1" applyAlignment="1">
      <alignment vertical="center"/>
    </xf>
    <xf numFmtId="168" fontId="62" fillId="0" borderId="32" xfId="6" applyNumberFormat="1" applyFont="1" applyBorder="1" applyAlignment="1">
      <alignment vertical="center"/>
    </xf>
    <xf numFmtId="0" fontId="62" fillId="0" borderId="23" xfId="6" applyFont="1" applyBorder="1" applyAlignment="1">
      <alignment vertical="center"/>
    </xf>
    <xf numFmtId="168" fontId="65" fillId="0" borderId="23" xfId="6" applyNumberFormat="1" applyFont="1" applyBorder="1" applyAlignment="1">
      <alignment vertical="center"/>
    </xf>
    <xf numFmtId="9" fontId="62" fillId="0" borderId="0" xfId="6" applyNumberFormat="1" applyFont="1" applyAlignment="1">
      <alignment vertical="center"/>
    </xf>
    <xf numFmtId="49" fontId="62" fillId="0" borderId="57" xfId="6" quotePrefix="1" applyNumberFormat="1" applyFont="1" applyBorder="1" applyAlignment="1">
      <alignment horizontal="right" vertical="center"/>
    </xf>
    <xf numFmtId="9" fontId="65" fillId="0" borderId="57" xfId="6" applyNumberFormat="1" applyFont="1" applyBorder="1" applyAlignment="1">
      <alignment vertical="center"/>
    </xf>
    <xf numFmtId="168" fontId="62" fillId="2" borderId="2" xfId="5" applyNumberFormat="1" applyFont="1" applyFill="1" applyBorder="1" applyAlignment="1">
      <alignment vertical="center"/>
    </xf>
    <xf numFmtId="0" fontId="62" fillId="0" borderId="58" xfId="6" applyFont="1" applyBorder="1" applyAlignment="1">
      <alignment vertical="center"/>
    </xf>
    <xf numFmtId="49" fontId="62" fillId="0" borderId="57" xfId="6" applyNumberFormat="1" applyFont="1" applyBorder="1" applyAlignment="1">
      <alignment horizontal="right" vertical="center"/>
    </xf>
    <xf numFmtId="168" fontId="62" fillId="2" borderId="23" xfId="5" applyNumberFormat="1" applyFont="1" applyFill="1" applyBorder="1" applyAlignment="1">
      <alignment vertical="center"/>
    </xf>
    <xf numFmtId="9" fontId="62" fillId="0" borderId="57" xfId="6" applyNumberFormat="1" applyFont="1" applyBorder="1" applyAlignment="1">
      <alignment vertical="center"/>
    </xf>
    <xf numFmtId="168" fontId="62" fillId="2" borderId="7" xfId="5" applyNumberFormat="1" applyFont="1" applyFill="1" applyBorder="1" applyAlignment="1">
      <alignment vertical="center"/>
    </xf>
    <xf numFmtId="165" fontId="65" fillId="0" borderId="23" xfId="1" applyNumberFormat="1" applyFont="1" applyBorder="1" applyAlignment="1">
      <alignment vertical="center"/>
    </xf>
    <xf numFmtId="37" fontId="62" fillId="0" borderId="57" xfId="6" applyNumberFormat="1" applyFont="1" applyBorder="1" applyAlignment="1">
      <alignment horizontal="left" vertical="center"/>
    </xf>
    <xf numFmtId="37" fontId="62" fillId="0" borderId="0" xfId="6" applyNumberFormat="1" applyFont="1" applyAlignment="1">
      <alignment horizontal="left" vertical="center" wrapText="1"/>
    </xf>
    <xf numFmtId="0" fontId="36" fillId="0" borderId="23" xfId="6" applyBorder="1" applyAlignment="1">
      <alignment vertical="center"/>
    </xf>
    <xf numFmtId="37" fontId="65" fillId="0" borderId="57" xfId="6" applyNumberFormat="1" applyFont="1" applyBorder="1" applyAlignment="1">
      <alignment horizontal="left" vertical="center"/>
    </xf>
    <xf numFmtId="168" fontId="36" fillId="0" borderId="0" xfId="6" applyNumberFormat="1" applyAlignment="1">
      <alignment vertical="center"/>
    </xf>
    <xf numFmtId="37" fontId="62" fillId="0" borderId="23" xfId="6" applyNumberFormat="1" applyFont="1" applyBorder="1" applyAlignment="1">
      <alignment vertical="center"/>
    </xf>
    <xf numFmtId="168" fontId="65" fillId="0" borderId="6" xfId="5" applyNumberFormat="1" applyFont="1" applyBorder="1" applyAlignment="1">
      <alignment vertical="center"/>
    </xf>
    <xf numFmtId="165" fontId="73" fillId="0" borderId="6" xfId="5" quotePrefix="1" applyNumberFormat="1" applyFont="1" applyBorder="1" applyAlignment="1">
      <alignment vertical="center"/>
    </xf>
    <xf numFmtId="0" fontId="62" fillId="0" borderId="7" xfId="6" quotePrefix="1" applyFont="1" applyBorder="1" applyAlignment="1">
      <alignment horizontal="center" vertical="center"/>
    </xf>
    <xf numFmtId="0" fontId="65" fillId="0" borderId="32" xfId="6" applyFont="1" applyBorder="1" applyAlignment="1">
      <alignment vertical="center"/>
    </xf>
    <xf numFmtId="0" fontId="65" fillId="0" borderId="1" xfId="6" applyFont="1" applyBorder="1" applyAlignment="1">
      <alignment vertical="center"/>
    </xf>
    <xf numFmtId="165" fontId="65" fillId="0" borderId="59" xfId="5" applyNumberFormat="1" applyFont="1" applyBorder="1" applyAlignment="1">
      <alignment vertical="center"/>
    </xf>
    <xf numFmtId="49" fontId="62" fillId="0" borderId="0" xfId="6" applyNumberFormat="1" applyFont="1" applyAlignment="1">
      <alignment horizontal="left" vertical="center"/>
    </xf>
    <xf numFmtId="0" fontId="66" fillId="0" borderId="0" xfId="6" applyFont="1" applyAlignment="1">
      <alignment vertical="center"/>
    </xf>
    <xf numFmtId="0" fontId="62" fillId="0" borderId="34" xfId="6" applyFont="1" applyBorder="1" applyAlignment="1">
      <alignment vertical="center"/>
    </xf>
    <xf numFmtId="49" fontId="62" fillId="0" borderId="0" xfId="6" applyNumberFormat="1" applyFont="1" applyAlignment="1">
      <alignment vertical="center"/>
    </xf>
    <xf numFmtId="0" fontId="62" fillId="0" borderId="0" xfId="1" applyNumberFormat="1" applyFont="1" applyAlignment="1">
      <alignment horizontal="center" vertical="center"/>
    </xf>
    <xf numFmtId="17" fontId="62" fillId="0" borderId="0" xfId="6" applyNumberFormat="1" applyFont="1" applyAlignment="1">
      <alignment horizontal="left" vertical="center"/>
    </xf>
    <xf numFmtId="165" fontId="36" fillId="0" borderId="0" xfId="1" applyNumberFormat="1" applyFont="1" applyAlignment="1">
      <alignment vertical="center"/>
    </xf>
    <xf numFmtId="165" fontId="65" fillId="0" borderId="31" xfId="1" applyNumberFormat="1" applyFont="1" applyBorder="1" applyAlignment="1">
      <alignment vertical="center"/>
    </xf>
    <xf numFmtId="164" fontId="36" fillId="0" borderId="0" xfId="6" applyNumberFormat="1" applyAlignment="1">
      <alignment vertical="center"/>
    </xf>
    <xf numFmtId="0" fontId="74" fillId="0" borderId="0" xfId="6" applyFont="1" applyAlignment="1">
      <alignment vertical="center"/>
    </xf>
    <xf numFmtId="0" fontId="75" fillId="0" borderId="0" xfId="6" applyFont="1" applyAlignment="1">
      <alignment vertical="center"/>
    </xf>
    <xf numFmtId="165" fontId="74" fillId="0" borderId="60" xfId="6" applyNumberFormat="1" applyFont="1" applyBorder="1" applyAlignment="1">
      <alignment vertical="center"/>
    </xf>
    <xf numFmtId="0" fontId="76" fillId="0" borderId="0" xfId="0" applyFont="1" applyAlignment="1">
      <alignment vertical="center"/>
    </xf>
    <xf numFmtId="165" fontId="76" fillId="0" borderId="0" xfId="8" applyNumberFormat="1" applyFont="1" applyBorder="1" applyAlignment="1">
      <alignment vertical="center"/>
    </xf>
    <xf numFmtId="165" fontId="74" fillId="0" borderId="0" xfId="1" applyNumberFormat="1" applyFont="1" applyAlignment="1">
      <alignment vertical="center"/>
    </xf>
    <xf numFmtId="0" fontId="77" fillId="0" borderId="0" xfId="6" applyFont="1" applyAlignment="1">
      <alignment vertical="center"/>
    </xf>
    <xf numFmtId="168" fontId="11" fillId="0" borderId="0" xfId="5" applyNumberFormat="1" applyFont="1" applyAlignment="1">
      <alignment vertical="center"/>
    </xf>
    <xf numFmtId="37" fontId="11" fillId="0" borderId="0" xfId="6" applyNumberFormat="1" applyFont="1" applyAlignment="1">
      <alignment horizontal="left" vertical="center"/>
    </xf>
    <xf numFmtId="37" fontId="36" fillId="0" borderId="0" xfId="6" applyNumberFormat="1" applyAlignment="1">
      <alignment vertical="center"/>
    </xf>
    <xf numFmtId="37" fontId="36" fillId="0" borderId="0" xfId="6" applyNumberFormat="1" applyAlignment="1">
      <alignment horizontal="left" vertical="center"/>
    </xf>
    <xf numFmtId="168" fontId="78" fillId="0" borderId="0" xfId="5" applyNumberFormat="1" applyFont="1" applyAlignment="1">
      <alignment vertical="center"/>
    </xf>
    <xf numFmtId="173" fontId="78" fillId="0" borderId="0" xfId="5" applyNumberFormat="1" applyFont="1" applyAlignment="1">
      <alignment horizontal="left" vertical="center"/>
    </xf>
    <xf numFmtId="174" fontId="57" fillId="0" borderId="0" xfId="6" applyNumberFormat="1" applyFont="1" applyAlignment="1">
      <alignment vertical="center"/>
    </xf>
    <xf numFmtId="165" fontId="11" fillId="0" borderId="0" xfId="1" applyNumberFormat="1" applyFont="1" applyAlignment="1">
      <alignment vertical="center"/>
    </xf>
    <xf numFmtId="43" fontId="9" fillId="3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65" fontId="13" fillId="0" borderId="0" xfId="1" applyNumberFormat="1" applyFont="1" applyFill="1" applyBorder="1" applyAlignment="1" applyProtection="1">
      <alignment horizontal="left" vertical="center"/>
      <protection locked="0"/>
    </xf>
    <xf numFmtId="165" fontId="9" fillId="4" borderId="0" xfId="1" applyNumberFormat="1" applyFont="1" applyFill="1" applyBorder="1" applyAlignment="1" applyProtection="1">
      <alignment vertical="center"/>
      <protection locked="0"/>
    </xf>
    <xf numFmtId="165" fontId="12" fillId="2" borderId="0" xfId="1" applyNumberFormat="1" applyFont="1" applyFill="1" applyBorder="1" applyAlignment="1">
      <alignment vertical="center"/>
    </xf>
    <xf numFmtId="165" fontId="79" fillId="2" borderId="6" xfId="1" applyNumberFormat="1" applyFont="1" applyFill="1" applyBorder="1" applyAlignment="1">
      <alignment horizontal="right" vertical="center"/>
    </xf>
    <xf numFmtId="165" fontId="80" fillId="2" borderId="6" xfId="1" applyNumberFormat="1" applyFont="1" applyFill="1" applyBorder="1" applyAlignment="1">
      <alignment vertical="center"/>
    </xf>
    <xf numFmtId="165" fontId="81" fillId="2" borderId="6" xfId="1" applyNumberFormat="1" applyFont="1" applyFill="1" applyBorder="1" applyAlignment="1">
      <alignment vertical="center"/>
    </xf>
    <xf numFmtId="165" fontId="12" fillId="2" borderId="16" xfId="1" applyNumberFormat="1" applyFont="1" applyFill="1" applyBorder="1" applyAlignment="1" applyProtection="1">
      <alignment horizontal="center" vertical="center" wrapText="1"/>
      <protection locked="0"/>
    </xf>
    <xf numFmtId="165" fontId="12" fillId="2" borderId="16" xfId="1" applyNumberFormat="1" applyFont="1" applyFill="1" applyBorder="1" applyAlignment="1" applyProtection="1">
      <alignment horizontal="left" vertical="center"/>
      <protection locked="0"/>
    </xf>
    <xf numFmtId="165" fontId="13" fillId="0" borderId="18" xfId="1" applyNumberFormat="1" applyFont="1" applyFill="1" applyBorder="1" applyAlignment="1" applyProtection="1">
      <alignment horizontal="center" vertical="center" wrapText="1"/>
      <protection locked="0"/>
    </xf>
    <xf numFmtId="165" fontId="13" fillId="2" borderId="7" xfId="1" applyNumberFormat="1" applyFont="1" applyFill="1" applyBorder="1" applyAlignment="1" applyProtection="1">
      <alignment horizontal="left" vertical="center"/>
      <protection locked="0"/>
    </xf>
    <xf numFmtId="165" fontId="13" fillId="2" borderId="7" xfId="1" applyNumberFormat="1" applyFont="1" applyFill="1" applyBorder="1" applyAlignment="1" applyProtection="1">
      <alignment horizontal="center" vertical="center" wrapText="1"/>
      <protection locked="0"/>
    </xf>
    <xf numFmtId="1" fontId="10" fillId="0" borderId="17" xfId="0" quotePrefix="1" applyNumberFormat="1" applyFont="1" applyBorder="1" applyAlignment="1" applyProtection="1">
      <alignment horizontal="center" vertical="center" wrapText="1"/>
      <protection locked="0"/>
    </xf>
    <xf numFmtId="1" fontId="10" fillId="0" borderId="17" xfId="1" applyNumberFormat="1" applyFont="1" applyFill="1" applyBorder="1" applyAlignment="1" applyProtection="1">
      <alignment horizontal="left" vertical="center"/>
      <protection locked="0"/>
    </xf>
    <xf numFmtId="1" fontId="10" fillId="0" borderId="17" xfId="1" applyNumberFormat="1" applyFont="1" applyFill="1" applyBorder="1" applyAlignment="1" applyProtection="1">
      <alignment horizontal="center" vertical="center" wrapText="1"/>
      <protection locked="0"/>
    </xf>
    <xf numFmtId="165" fontId="13" fillId="2" borderId="18" xfId="1" applyNumberFormat="1" applyFont="1" applyFill="1" applyBorder="1" applyAlignment="1" applyProtection="1">
      <alignment horizontal="left" vertical="center"/>
      <protection locked="0"/>
    </xf>
    <xf numFmtId="1" fontId="19" fillId="2" borderId="5" xfId="0" quotePrefix="1" applyNumberFormat="1" applyFont="1" applyFill="1" applyBorder="1" applyAlignment="1" applyProtection="1">
      <alignment vertical="center"/>
      <protection locked="0"/>
    </xf>
    <xf numFmtId="0" fontId="81" fillId="0" borderId="6" xfId="0" applyFont="1" applyBorder="1" applyAlignment="1">
      <alignment horizontal="center" vertical="center"/>
    </xf>
    <xf numFmtId="165" fontId="81" fillId="0" borderId="6" xfId="1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165" fontId="0" fillId="2" borderId="11" xfId="1" applyNumberFormat="1" applyFont="1" applyFill="1" applyBorder="1" applyAlignment="1">
      <alignment vertical="center" wrapText="1"/>
    </xf>
    <xf numFmtId="43" fontId="23" fillId="2" borderId="0" xfId="1" applyFont="1" applyFill="1" applyBorder="1" applyAlignment="1">
      <alignment vertical="center"/>
    </xf>
    <xf numFmtId="165" fontId="23" fillId="2" borderId="0" xfId="1" applyNumberFormat="1" applyFont="1" applyFill="1" applyBorder="1" applyAlignment="1">
      <alignment vertical="center"/>
    </xf>
    <xf numFmtId="165" fontId="10" fillId="2" borderId="15" xfId="1" applyNumberFormat="1" applyFont="1" applyFill="1" applyBorder="1" applyAlignment="1">
      <alignment horizontal="center" vertical="center"/>
    </xf>
    <xf numFmtId="1" fontId="15" fillId="2" borderId="0" xfId="0" applyNumberFormat="1" applyFont="1" applyFill="1" applyAlignment="1" applyProtection="1">
      <alignment horizontal="center" vertical="center"/>
      <protection locked="0"/>
    </xf>
    <xf numFmtId="1" fontId="17" fillId="2" borderId="0" xfId="0" applyNumberFormat="1" applyFont="1" applyFill="1" applyAlignment="1" applyProtection="1">
      <alignment horizontal="center" vertical="center"/>
      <protection locked="0"/>
    </xf>
    <xf numFmtId="1" fontId="10" fillId="2" borderId="6" xfId="0" quotePrefix="1" applyNumberFormat="1" applyFont="1" applyFill="1" applyBorder="1" applyAlignment="1" applyProtection="1">
      <alignment horizontal="center" vertical="center" wrapText="1"/>
      <protection locked="0"/>
    </xf>
    <xf numFmtId="171" fontId="10" fillId="2" borderId="6" xfId="1" applyNumberFormat="1" applyFont="1" applyFill="1" applyBorder="1" applyAlignment="1" applyProtection="1">
      <alignment horizontal="center" vertical="center"/>
      <protection locked="0"/>
    </xf>
    <xf numFmtId="1" fontId="10" fillId="2" borderId="6" xfId="1" applyNumberFormat="1" applyFont="1" applyFill="1" applyBorder="1" applyAlignment="1" applyProtection="1">
      <alignment horizontal="center" vertical="center" wrapText="1"/>
    </xf>
    <xf numFmtId="165" fontId="10" fillId="2" borderId="6" xfId="1" applyNumberFormat="1" applyFont="1" applyFill="1" applyBorder="1" applyAlignment="1" applyProtection="1">
      <alignment horizontal="center" vertical="center" wrapText="1"/>
    </xf>
    <xf numFmtId="43" fontId="10" fillId="2" borderId="6" xfId="1" applyFont="1" applyFill="1" applyBorder="1" applyAlignment="1" applyProtection="1">
      <alignment vertical="center" wrapText="1"/>
      <protection locked="0"/>
    </xf>
    <xf numFmtId="165" fontId="13" fillId="2" borderId="6" xfId="1" applyNumberFormat="1" applyFont="1" applyFill="1" applyBorder="1" applyAlignment="1" applyProtection="1">
      <alignment horizontal="center" vertical="center" wrapText="1"/>
    </xf>
    <xf numFmtId="165" fontId="10" fillId="2" borderId="6" xfId="1" applyNumberFormat="1" applyFont="1" applyFill="1" applyBorder="1" applyAlignment="1" applyProtection="1">
      <alignment horizontal="center" vertical="center" wrapText="1"/>
      <protection locked="0"/>
    </xf>
    <xf numFmtId="43" fontId="19" fillId="2" borderId="27" xfId="1" quotePrefix="1" applyFont="1" applyFill="1" applyBorder="1" applyAlignment="1" applyProtection="1">
      <alignment vertical="center"/>
      <protection locked="0"/>
    </xf>
    <xf numFmtId="172" fontId="19" fillId="2" borderId="26" xfId="0" quotePrefix="1" applyNumberFormat="1" applyFont="1" applyFill="1" applyBorder="1" applyAlignment="1" applyProtection="1">
      <alignment vertical="center"/>
      <protection locked="0"/>
    </xf>
    <xf numFmtId="1" fontId="14" fillId="3" borderId="0" xfId="0" applyNumberFormat="1" applyFont="1" applyFill="1" applyAlignment="1">
      <alignment horizontal="center" vertical="center"/>
    </xf>
    <xf numFmtId="43" fontId="10" fillId="2" borderId="0" xfId="1" applyFont="1" applyFill="1" applyBorder="1" applyAlignment="1" applyProtection="1">
      <alignment horizontal="center" vertical="center"/>
      <protection locked="0"/>
    </xf>
    <xf numFmtId="165" fontId="13" fillId="3" borderId="0" xfId="1" applyNumberFormat="1" applyFont="1" applyFill="1" applyBorder="1" applyAlignment="1" applyProtection="1">
      <alignment horizontal="left" vertical="center"/>
      <protection locked="0"/>
    </xf>
    <xf numFmtId="9" fontId="21" fillId="0" borderId="0" xfId="0" applyNumberFormat="1" applyFont="1" applyAlignment="1" applyProtection="1">
      <alignment vertical="center"/>
      <protection locked="0"/>
    </xf>
    <xf numFmtId="43" fontId="14" fillId="3" borderId="0" xfId="1" applyFont="1" applyFill="1" applyBorder="1" applyAlignment="1" applyProtection="1">
      <alignment horizontal="center" vertical="center"/>
    </xf>
    <xf numFmtId="43" fontId="10" fillId="0" borderId="0" xfId="1" applyFont="1" applyFill="1" applyBorder="1" applyAlignment="1" applyProtection="1">
      <alignment horizontal="center" vertical="center"/>
      <protection locked="0"/>
    </xf>
    <xf numFmtId="43" fontId="13" fillId="3" borderId="0" xfId="1" applyFont="1" applyFill="1" applyBorder="1" applyAlignment="1" applyProtection="1">
      <alignment horizontal="center" vertical="center"/>
      <protection locked="0"/>
    </xf>
    <xf numFmtId="43" fontId="19" fillId="2" borderId="0" xfId="1" quotePrefix="1" applyFont="1" applyFill="1" applyBorder="1" applyAlignment="1" applyProtection="1">
      <alignment vertical="center"/>
      <protection locked="0"/>
    </xf>
    <xf numFmtId="165" fontId="10" fillId="2" borderId="0" xfId="1" applyNumberFormat="1" applyFont="1" applyFill="1"/>
    <xf numFmtId="165" fontId="10" fillId="2" borderId="0" xfId="1" applyNumberFormat="1" applyFont="1" applyFill="1" applyAlignment="1">
      <alignment vertical="center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2" borderId="50" xfId="0" applyFont="1" applyFill="1" applyBorder="1" applyAlignment="1">
      <alignment vertical="center"/>
    </xf>
    <xf numFmtId="0" fontId="10" fillId="2" borderId="21" xfId="0" quotePrefix="1" applyFont="1" applyFill="1" applyBorder="1" applyAlignment="1">
      <alignment horizontal="center" vertical="center"/>
    </xf>
    <xf numFmtId="0" fontId="10" fillId="2" borderId="50" xfId="0" quotePrefix="1" applyFont="1" applyFill="1" applyBorder="1" applyAlignment="1">
      <alignment horizontal="center" vertical="center"/>
    </xf>
    <xf numFmtId="165" fontId="10" fillId="2" borderId="17" xfId="1" applyNumberFormat="1" applyFont="1" applyFill="1" applyBorder="1" applyAlignment="1">
      <alignment horizontal="center" vertical="center"/>
    </xf>
    <xf numFmtId="171" fontId="10" fillId="2" borderId="18" xfId="1" applyNumberFormat="1" applyFont="1" applyFill="1" applyBorder="1" applyAlignment="1" applyProtection="1">
      <alignment horizontal="center" vertical="center"/>
      <protection locked="0"/>
    </xf>
    <xf numFmtId="165" fontId="13" fillId="0" borderId="7" xfId="1" applyNumberFormat="1" applyFont="1" applyFill="1" applyBorder="1" applyAlignment="1" applyProtection="1">
      <alignment horizontal="center" vertical="center" wrapText="1"/>
    </xf>
    <xf numFmtId="1" fontId="4" fillId="2" borderId="0" xfId="0" applyNumberFormat="1" applyFont="1" applyFill="1" applyAlignment="1">
      <alignment horizontal="left" vertical="center"/>
    </xf>
    <xf numFmtId="0" fontId="12" fillId="2" borderId="16" xfId="0" applyFont="1" applyFill="1" applyBorder="1" applyAlignment="1" applyProtection="1">
      <alignment horizontal="center" vertical="center" wrapText="1"/>
      <protection locked="0"/>
    </xf>
    <xf numFmtId="1" fontId="12" fillId="2" borderId="16" xfId="1" applyNumberFormat="1" applyFont="1" applyFill="1" applyBorder="1" applyAlignment="1" applyProtection="1">
      <alignment horizontal="left" vertical="center"/>
      <protection locked="0"/>
    </xf>
    <xf numFmtId="1" fontId="12" fillId="2" borderId="16" xfId="1" applyNumberFormat="1" applyFont="1" applyFill="1" applyBorder="1" applyAlignment="1" applyProtection="1">
      <alignment horizontal="center" vertical="center" wrapText="1"/>
      <protection locked="0"/>
    </xf>
    <xf numFmtId="172" fontId="12" fillId="2" borderId="16" xfId="1" applyNumberFormat="1" applyFont="1" applyFill="1" applyBorder="1" applyAlignment="1" applyProtection="1">
      <alignment horizontal="center" vertical="center"/>
      <protection locked="0"/>
    </xf>
    <xf numFmtId="1" fontId="12" fillId="2" borderId="17" xfId="1" applyNumberFormat="1" applyFont="1" applyFill="1" applyBorder="1" applyAlignment="1" applyProtection="1">
      <alignment horizontal="center" vertical="center" wrapText="1"/>
    </xf>
    <xf numFmtId="165" fontId="12" fillId="2" borderId="17" xfId="1" applyNumberFormat="1" applyFont="1" applyFill="1" applyBorder="1" applyAlignment="1" applyProtection="1">
      <alignment horizontal="center" vertical="center" wrapText="1"/>
    </xf>
    <xf numFmtId="43" fontId="12" fillId="2" borderId="16" xfId="1" applyFont="1" applyFill="1" applyBorder="1" applyAlignment="1" applyProtection="1">
      <alignment vertical="center" wrapText="1"/>
      <protection locked="0"/>
    </xf>
    <xf numFmtId="165" fontId="9" fillId="2" borderId="16" xfId="1" applyNumberFormat="1" applyFont="1" applyFill="1" applyBorder="1" applyAlignment="1" applyProtection="1">
      <alignment horizontal="center" vertical="center" wrapText="1"/>
    </xf>
    <xf numFmtId="165" fontId="12" fillId="2" borderId="16" xfId="1" applyNumberFormat="1" applyFont="1" applyFill="1" applyBorder="1" applyAlignment="1">
      <alignment horizontal="center" vertical="center"/>
    </xf>
    <xf numFmtId="165" fontId="9" fillId="2" borderId="16" xfId="1" applyNumberFormat="1" applyFont="1" applyFill="1" applyBorder="1" applyAlignment="1">
      <alignment horizontal="center" vertical="center"/>
    </xf>
    <xf numFmtId="165" fontId="9" fillId="2" borderId="16" xfId="1" applyNumberFormat="1" applyFont="1" applyFill="1" applyBorder="1" applyAlignment="1" applyProtection="1">
      <alignment horizontal="center" vertical="center" wrapText="1"/>
      <protection locked="0"/>
    </xf>
    <xf numFmtId="165" fontId="12" fillId="2" borderId="16" xfId="1" applyNumberFormat="1" applyFont="1" applyFill="1" applyBorder="1" applyAlignment="1" applyProtection="1">
      <alignment horizontal="center" vertical="center"/>
      <protection locked="0"/>
    </xf>
    <xf numFmtId="1" fontId="12" fillId="2" borderId="16" xfId="1" applyNumberFormat="1" applyFont="1" applyFill="1" applyBorder="1" applyAlignment="1" applyProtection="1">
      <alignment horizontal="center" vertical="center"/>
      <protection locked="0"/>
    </xf>
    <xf numFmtId="1" fontId="12" fillId="2" borderId="0" xfId="1" applyNumberFormat="1" applyFont="1" applyFill="1" applyBorder="1" applyAlignment="1" applyProtection="1">
      <alignment horizontal="center" vertical="center"/>
      <protection locked="0"/>
    </xf>
    <xf numFmtId="165" fontId="8" fillId="2" borderId="0" xfId="1" applyNumberFormat="1" applyFont="1" applyFill="1" applyBorder="1" applyAlignment="1" applyProtection="1">
      <alignment vertical="center"/>
      <protection locked="0"/>
    </xf>
    <xf numFmtId="43" fontId="8" fillId="2" borderId="0" xfId="1" applyFont="1" applyFill="1" applyBorder="1" applyAlignment="1" applyProtection="1">
      <alignment vertical="center"/>
      <protection locked="0"/>
    </xf>
    <xf numFmtId="165" fontId="8" fillId="2" borderId="0" xfId="0" applyNumberFormat="1" applyFont="1" applyFill="1" applyAlignment="1" applyProtection="1">
      <alignment vertical="center" wrapText="1"/>
      <protection locked="0"/>
    </xf>
    <xf numFmtId="165" fontId="8" fillId="2" borderId="0" xfId="0" applyNumberFormat="1" applyFont="1" applyFill="1" applyAlignment="1" applyProtection="1">
      <alignment vertical="center"/>
      <protection locked="0"/>
    </xf>
    <xf numFmtId="1" fontId="8" fillId="2" borderId="0" xfId="0" applyNumberFormat="1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165" fontId="86" fillId="0" borderId="0" xfId="1" applyNumberFormat="1" applyFont="1" applyFill="1" applyBorder="1" applyAlignment="1">
      <alignment horizontal="center" vertical="center"/>
    </xf>
    <xf numFmtId="165" fontId="82" fillId="2" borderId="0" xfId="1" applyNumberFormat="1" applyFont="1" applyFill="1" applyBorder="1" applyAlignment="1" applyProtection="1">
      <alignment horizontal="center" vertical="center"/>
      <protection locked="0"/>
    </xf>
    <xf numFmtId="165" fontId="7" fillId="2" borderId="0" xfId="1" applyNumberFormat="1" applyFont="1" applyFill="1" applyBorder="1" applyAlignment="1" applyProtection="1">
      <alignment horizontal="center" vertical="center"/>
      <protection locked="0"/>
    </xf>
    <xf numFmtId="165" fontId="9" fillId="2" borderId="0" xfId="1" applyNumberFormat="1" applyFont="1" applyFill="1" applyBorder="1" applyAlignment="1" applyProtection="1">
      <alignment horizontal="right"/>
      <protection locked="0"/>
    </xf>
    <xf numFmtId="165" fontId="5" fillId="3" borderId="0" xfId="1" applyNumberFormat="1" applyFont="1" applyFill="1" applyBorder="1" applyAlignment="1" applyProtection="1">
      <alignment horizontal="center" vertical="center"/>
    </xf>
    <xf numFmtId="165" fontId="12" fillId="2" borderId="0" xfId="1" applyNumberFormat="1" applyFont="1" applyFill="1" applyBorder="1" applyAlignment="1" applyProtection="1">
      <alignment horizontal="center" vertical="center"/>
      <protection locked="0"/>
    </xf>
    <xf numFmtId="165" fontId="9" fillId="2" borderId="0" xfId="1" applyNumberFormat="1" applyFont="1" applyFill="1" applyBorder="1" applyAlignment="1" applyProtection="1">
      <alignment horizontal="center" vertical="center"/>
      <protection locked="0"/>
    </xf>
    <xf numFmtId="165" fontId="83" fillId="2" borderId="0" xfId="1" applyNumberFormat="1" applyFont="1" applyFill="1" applyBorder="1" applyAlignment="1">
      <alignment horizontal="center" vertical="center"/>
    </xf>
    <xf numFmtId="165" fontId="84" fillId="2" borderId="0" xfId="1" applyNumberFormat="1" applyFont="1" applyFill="1" applyBorder="1" applyAlignment="1">
      <alignment horizontal="center" vertical="center"/>
    </xf>
    <xf numFmtId="165" fontId="9" fillId="2" borderId="0" xfId="1" applyNumberFormat="1" applyFont="1" applyFill="1" applyBorder="1" applyAlignment="1">
      <alignment vertical="center" wrapText="1"/>
    </xf>
    <xf numFmtId="165" fontId="83" fillId="0" borderId="0" xfId="1" applyNumberFormat="1" applyFont="1" applyFill="1" applyBorder="1" applyAlignment="1">
      <alignment horizontal="center" vertical="center"/>
    </xf>
    <xf numFmtId="165" fontId="85" fillId="0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 applyProtection="1">
      <alignment horizontal="center" vertical="center" wrapText="1"/>
    </xf>
    <xf numFmtId="1" fontId="10" fillId="2" borderId="7" xfId="1" applyNumberFormat="1" applyFont="1" applyFill="1" applyBorder="1" applyAlignment="1" applyProtection="1">
      <alignment horizontal="center" vertical="center"/>
      <protection locked="0"/>
    </xf>
    <xf numFmtId="0" fontId="88" fillId="2" borderId="6" xfId="10" applyNumberFormat="1" applyFont="1" applyFill="1" applyBorder="1" applyAlignment="1">
      <alignment horizontal="center" vertical="center"/>
    </xf>
    <xf numFmtId="165" fontId="88" fillId="2" borderId="6" xfId="1" applyNumberFormat="1" applyFont="1" applyFill="1" applyBorder="1" applyAlignment="1">
      <alignment horizontal="center" vertical="center"/>
    </xf>
    <xf numFmtId="0" fontId="87" fillId="2" borderId="6" xfId="9" applyFont="1" applyFill="1" applyBorder="1" applyAlignment="1">
      <alignment vertical="center"/>
    </xf>
    <xf numFmtId="165" fontId="10" fillId="2" borderId="16" xfId="1" applyNumberFormat="1" applyFont="1" applyFill="1" applyBorder="1" applyAlignment="1" applyProtection="1">
      <alignment vertical="center" wrapText="1"/>
      <protection locked="0"/>
    </xf>
    <xf numFmtId="0" fontId="41" fillId="2" borderId="0" xfId="0" applyFont="1" applyFill="1" applyAlignment="1">
      <alignment vertical="center"/>
    </xf>
    <xf numFmtId="165" fontId="41" fillId="2" borderId="0" xfId="1" applyNumberFormat="1" applyFont="1" applyFill="1" applyAlignment="1">
      <alignment vertical="center"/>
    </xf>
    <xf numFmtId="0" fontId="41" fillId="2" borderId="4" xfId="0" applyFont="1" applyFill="1" applyBorder="1" applyAlignment="1">
      <alignment vertical="center" wrapText="1"/>
    </xf>
    <xf numFmtId="0" fontId="41" fillId="2" borderId="6" xfId="0" applyFont="1" applyFill="1" applyBorder="1" applyAlignment="1">
      <alignment horizontal="center" vertical="center" wrapText="1"/>
    </xf>
    <xf numFmtId="165" fontId="40" fillId="2" borderId="0" xfId="1" applyNumberFormat="1" applyFont="1" applyFill="1" applyAlignment="1">
      <alignment vertical="center"/>
    </xf>
    <xf numFmtId="0" fontId="90" fillId="2" borderId="0" xfId="0" applyFont="1" applyFill="1" applyAlignment="1">
      <alignment vertical="center"/>
    </xf>
    <xf numFmtId="165" fontId="41" fillId="2" borderId="6" xfId="1" applyNumberFormat="1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vertical="center"/>
    </xf>
    <xf numFmtId="0" fontId="40" fillId="2" borderId="6" xfId="0" applyFont="1" applyFill="1" applyBorder="1" applyAlignment="1">
      <alignment vertical="center" wrapText="1"/>
    </xf>
    <xf numFmtId="2" fontId="40" fillId="2" borderId="6" xfId="0" applyNumberFormat="1" applyFont="1" applyFill="1" applyBorder="1" applyAlignment="1">
      <alignment horizontal="center" vertical="center" wrapText="1"/>
    </xf>
    <xf numFmtId="165" fontId="40" fillId="2" borderId="6" xfId="1" applyNumberFormat="1" applyFont="1" applyFill="1" applyBorder="1" applyAlignment="1">
      <alignment horizontal="center" vertical="center" wrapText="1"/>
    </xf>
    <xf numFmtId="165" fontId="41" fillId="2" borderId="6" xfId="1" applyNumberFormat="1" applyFont="1" applyFill="1" applyBorder="1" applyAlignment="1">
      <alignment vertical="center"/>
    </xf>
    <xf numFmtId="0" fontId="41" fillId="2" borderId="6" xfId="0" applyFont="1" applyFill="1" applyBorder="1" applyAlignment="1">
      <alignment horizontal="center" vertical="center"/>
    </xf>
    <xf numFmtId="0" fontId="53" fillId="6" borderId="6" xfId="0" applyFont="1" applyFill="1" applyBorder="1" applyAlignment="1">
      <alignment horizontal="center" vertical="center"/>
    </xf>
    <xf numFmtId="165" fontId="10" fillId="2" borderId="7" xfId="1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horizontal="center" vertical="center" wrapText="1"/>
    </xf>
    <xf numFmtId="0" fontId="40" fillId="2" borderId="3" xfId="0" quotePrefix="1" applyFont="1" applyFill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165" fontId="41" fillId="2" borderId="6" xfId="1" applyNumberFormat="1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vertical="center"/>
    </xf>
    <xf numFmtId="0" fontId="40" fillId="2" borderId="0" xfId="0" applyFont="1" applyFill="1" applyAlignment="1">
      <alignment horizontal="center" vertical="center"/>
    </xf>
    <xf numFmtId="2" fontId="40" fillId="2" borderId="0" xfId="0" applyNumberFormat="1" applyFont="1" applyFill="1" applyAlignment="1">
      <alignment vertical="center"/>
    </xf>
    <xf numFmtId="0" fontId="40" fillId="2" borderId="62" xfId="0" quotePrefix="1" applyFont="1" applyFill="1" applyBorder="1" applyAlignment="1">
      <alignment horizontal="center" vertical="center" wrapText="1"/>
    </xf>
    <xf numFmtId="0" fontId="53" fillId="6" borderId="21" xfId="0" applyFont="1" applyFill="1" applyBorder="1" applyAlignment="1">
      <alignment vertical="center"/>
    </xf>
    <xf numFmtId="0" fontId="53" fillId="6" borderId="21" xfId="0" applyFont="1" applyFill="1" applyBorder="1" applyAlignment="1">
      <alignment horizontal="center" vertical="center"/>
    </xf>
    <xf numFmtId="0" fontId="53" fillId="6" borderId="21" xfId="0" applyFont="1" applyFill="1" applyBorder="1" applyAlignment="1">
      <alignment horizontal="right" vertical="center"/>
    </xf>
    <xf numFmtId="0" fontId="40" fillId="2" borderId="21" xfId="0" applyFont="1" applyFill="1" applyBorder="1" applyAlignment="1">
      <alignment horizontal="center" vertical="center" wrapText="1"/>
    </xf>
    <xf numFmtId="0" fontId="41" fillId="2" borderId="21" xfId="0" applyFont="1" applyFill="1" applyBorder="1" applyAlignment="1">
      <alignment horizontal="center" vertical="center" wrapText="1"/>
    </xf>
    <xf numFmtId="0" fontId="40" fillId="2" borderId="63" xfId="0" quotePrefix="1" applyFont="1" applyFill="1" applyBorder="1" applyAlignment="1">
      <alignment horizontal="center" vertical="center" wrapText="1"/>
    </xf>
    <xf numFmtId="0" fontId="53" fillId="6" borderId="50" xfId="0" applyFont="1" applyFill="1" applyBorder="1" applyAlignment="1">
      <alignment vertical="center"/>
    </xf>
    <xf numFmtId="0" fontId="53" fillId="6" borderId="50" xfId="0" applyFont="1" applyFill="1" applyBorder="1" applyAlignment="1">
      <alignment horizontal="center" vertical="center"/>
    </xf>
    <xf numFmtId="0" fontId="53" fillId="6" borderId="50" xfId="0" applyFont="1" applyFill="1" applyBorder="1" applyAlignment="1">
      <alignment horizontal="left" vertical="center"/>
    </xf>
    <xf numFmtId="0" fontId="40" fillId="2" borderId="50" xfId="0" applyFont="1" applyFill="1" applyBorder="1" applyAlignment="1">
      <alignment horizontal="center" vertical="center" wrapText="1"/>
    </xf>
    <xf numFmtId="0" fontId="41" fillId="2" borderId="50" xfId="0" applyFont="1" applyFill="1" applyBorder="1" applyAlignment="1">
      <alignment horizontal="center" vertical="center" wrapText="1"/>
    </xf>
    <xf numFmtId="0" fontId="53" fillId="5" borderId="50" xfId="0" applyFont="1" applyFill="1" applyBorder="1" applyAlignment="1">
      <alignment horizontal="left" vertical="center"/>
    </xf>
    <xf numFmtId="0" fontId="53" fillId="5" borderId="50" xfId="0" applyFont="1" applyFill="1" applyBorder="1" applyAlignment="1">
      <alignment horizontal="center" vertical="center"/>
    </xf>
    <xf numFmtId="3" fontId="53" fillId="6" borderId="50" xfId="0" applyNumberFormat="1" applyFont="1" applyFill="1" applyBorder="1" applyAlignment="1">
      <alignment horizontal="center" vertical="center"/>
    </xf>
    <xf numFmtId="3" fontId="53" fillId="6" borderId="50" xfId="0" applyNumberFormat="1" applyFont="1" applyFill="1" applyBorder="1" applyAlignment="1">
      <alignment horizontal="left" vertical="center"/>
    </xf>
    <xf numFmtId="0" fontId="40" fillId="5" borderId="50" xfId="0" applyFont="1" applyFill="1" applyBorder="1" applyAlignment="1">
      <alignment horizontal="left" vertical="center"/>
    </xf>
    <xf numFmtId="0" fontId="40" fillId="5" borderId="50" xfId="0" applyFont="1" applyFill="1" applyBorder="1" applyAlignment="1">
      <alignment horizontal="center" vertical="center"/>
    </xf>
    <xf numFmtId="0" fontId="45" fillId="2" borderId="50" xfId="0" applyFont="1" applyFill="1" applyBorder="1" applyAlignment="1">
      <alignment vertical="center"/>
    </xf>
    <xf numFmtId="0" fontId="53" fillId="5" borderId="50" xfId="0" applyFont="1" applyFill="1" applyBorder="1" applyAlignment="1">
      <alignment vertical="center"/>
    </xf>
    <xf numFmtId="0" fontId="40" fillId="2" borderId="51" xfId="0" applyFont="1" applyFill="1" applyBorder="1" applyAlignment="1">
      <alignment vertical="center" wrapText="1"/>
    </xf>
    <xf numFmtId="0" fontId="40" fillId="2" borderId="51" xfId="0" applyFont="1" applyFill="1" applyBorder="1" applyAlignment="1">
      <alignment horizontal="center" vertical="center" wrapText="1"/>
    </xf>
    <xf numFmtId="2" fontId="40" fillId="2" borderId="51" xfId="0" applyNumberFormat="1" applyFont="1" applyFill="1" applyBorder="1" applyAlignment="1">
      <alignment horizontal="center" vertical="center" wrapText="1"/>
    </xf>
    <xf numFmtId="165" fontId="40" fillId="2" borderId="51" xfId="1" applyNumberFormat="1" applyFont="1" applyFill="1" applyBorder="1" applyAlignment="1">
      <alignment horizontal="center" vertical="center" wrapText="1"/>
    </xf>
    <xf numFmtId="0" fontId="93" fillId="2" borderId="21" xfId="0" applyFont="1" applyFill="1" applyBorder="1" applyAlignment="1">
      <alignment vertical="center" wrapText="1"/>
    </xf>
    <xf numFmtId="0" fontId="93" fillId="2" borderId="21" xfId="0" applyFont="1" applyFill="1" applyBorder="1" applyAlignment="1">
      <alignment horizontal="center" vertical="center" wrapText="1"/>
    </xf>
    <xf numFmtId="2" fontId="93" fillId="2" borderId="21" xfId="0" applyNumberFormat="1" applyFont="1" applyFill="1" applyBorder="1" applyAlignment="1">
      <alignment horizontal="center" vertical="center" wrapText="1"/>
    </xf>
    <xf numFmtId="165" fontId="93" fillId="2" borderId="21" xfId="1" applyNumberFormat="1" applyFont="1" applyFill="1" applyBorder="1" applyAlignment="1">
      <alignment horizontal="center" vertical="center" wrapText="1"/>
    </xf>
    <xf numFmtId="0" fontId="93" fillId="2" borderId="21" xfId="0" applyFont="1" applyFill="1" applyBorder="1" applyAlignment="1">
      <alignment horizontal="center" vertical="center"/>
    </xf>
    <xf numFmtId="0" fontId="93" fillId="2" borderId="50" xfId="0" applyFont="1" applyFill="1" applyBorder="1" applyAlignment="1">
      <alignment vertical="center" wrapText="1"/>
    </xf>
    <xf numFmtId="0" fontId="93" fillId="2" borderId="50" xfId="0" applyFont="1" applyFill="1" applyBorder="1" applyAlignment="1">
      <alignment horizontal="center" vertical="center" wrapText="1"/>
    </xf>
    <xf numFmtId="2" fontId="93" fillId="2" borderId="50" xfId="0" applyNumberFormat="1" applyFont="1" applyFill="1" applyBorder="1" applyAlignment="1">
      <alignment horizontal="center" vertical="center" wrapText="1"/>
    </xf>
    <xf numFmtId="165" fontId="93" fillId="2" borderId="50" xfId="1" applyNumberFormat="1" applyFont="1" applyFill="1" applyBorder="1" applyAlignment="1">
      <alignment horizontal="center" vertical="center" wrapText="1"/>
    </xf>
    <xf numFmtId="0" fontId="93" fillId="2" borderId="50" xfId="0" applyFont="1" applyFill="1" applyBorder="1" applyAlignment="1">
      <alignment horizontal="center" vertical="center"/>
    </xf>
    <xf numFmtId="0" fontId="93" fillId="2" borderId="50" xfId="0" applyFont="1" applyFill="1" applyBorder="1" applyAlignment="1">
      <alignment horizontal="left" vertical="center" wrapText="1"/>
    </xf>
    <xf numFmtId="0" fontId="95" fillId="2" borderId="50" xfId="0" applyFont="1" applyFill="1" applyBorder="1" applyAlignment="1">
      <alignment horizontal="center" vertical="center"/>
    </xf>
    <xf numFmtId="0" fontId="93" fillId="2" borderId="50" xfId="0" applyFont="1" applyFill="1" applyBorder="1" applyAlignment="1">
      <alignment horizontal="left" vertical="center"/>
    </xf>
    <xf numFmtId="0" fontId="40" fillId="2" borderId="50" xfId="0" applyFont="1" applyFill="1" applyBorder="1" applyAlignment="1">
      <alignment vertical="center" wrapText="1"/>
    </xf>
    <xf numFmtId="2" fontId="40" fillId="2" borderId="50" xfId="0" applyNumberFormat="1" applyFont="1" applyFill="1" applyBorder="1" applyAlignment="1">
      <alignment horizontal="center" vertical="center" wrapText="1"/>
    </xf>
    <xf numFmtId="165" fontId="40" fillId="2" borderId="50" xfId="1" applyNumberFormat="1" applyFont="1" applyFill="1" applyBorder="1" applyAlignment="1">
      <alignment horizontal="center" vertical="center" wrapText="1"/>
    </xf>
    <xf numFmtId="0" fontId="40" fillId="2" borderId="50" xfId="0" applyFont="1" applyFill="1" applyBorder="1" applyAlignment="1">
      <alignment horizontal="center" vertical="center"/>
    </xf>
    <xf numFmtId="0" fontId="40" fillId="2" borderId="50" xfId="0" applyFont="1" applyFill="1" applyBorder="1" applyAlignment="1">
      <alignment horizontal="left" vertical="center" wrapText="1"/>
    </xf>
    <xf numFmtId="0" fontId="90" fillId="2" borderId="50" xfId="0" applyFont="1" applyFill="1" applyBorder="1" applyAlignment="1">
      <alignment horizontal="center" vertical="center"/>
    </xf>
    <xf numFmtId="0" fontId="90" fillId="2" borderId="50" xfId="0" applyFont="1" applyFill="1" applyBorder="1" applyAlignment="1">
      <alignment horizontal="left" vertical="center" wrapText="1"/>
    </xf>
    <xf numFmtId="0" fontId="90" fillId="2" borderId="50" xfId="0" applyFont="1" applyFill="1" applyBorder="1" applyAlignment="1">
      <alignment horizontal="center" vertical="center" wrapText="1"/>
    </xf>
    <xf numFmtId="0" fontId="92" fillId="6" borderId="50" xfId="0" applyFont="1" applyFill="1" applyBorder="1" applyAlignment="1">
      <alignment horizontal="center" vertical="center"/>
    </xf>
    <xf numFmtId="0" fontId="40" fillId="2" borderId="51" xfId="0" applyFont="1" applyFill="1" applyBorder="1" applyAlignment="1">
      <alignment horizontal="center" vertical="center"/>
    </xf>
    <xf numFmtId="0" fontId="40" fillId="2" borderId="21" xfId="0" applyFont="1" applyFill="1" applyBorder="1" applyAlignment="1">
      <alignment horizontal="center" vertical="center"/>
    </xf>
    <xf numFmtId="0" fontId="53" fillId="5" borderId="64" xfId="0" applyFont="1" applyFill="1" applyBorder="1" applyAlignment="1">
      <alignment horizontal="center" vertical="center"/>
    </xf>
    <xf numFmtId="3" fontId="53" fillId="5" borderId="64" xfId="0" applyNumberFormat="1" applyFont="1" applyFill="1" applyBorder="1" applyAlignment="1">
      <alignment horizontal="center" vertical="center"/>
    </xf>
    <xf numFmtId="0" fontId="41" fillId="2" borderId="65" xfId="0" applyFont="1" applyFill="1" applyBorder="1" applyAlignment="1">
      <alignment vertical="center"/>
    </xf>
    <xf numFmtId="0" fontId="53" fillId="6" borderId="66" xfId="0" applyFont="1" applyFill="1" applyBorder="1" applyAlignment="1">
      <alignment horizontal="center" vertical="center"/>
    </xf>
    <xf numFmtId="3" fontId="53" fillId="6" borderId="66" xfId="0" applyNumberFormat="1" applyFont="1" applyFill="1" applyBorder="1" applyAlignment="1">
      <alignment horizontal="center" vertical="center"/>
    </xf>
    <xf numFmtId="0" fontId="41" fillId="2" borderId="67" xfId="0" applyFont="1" applyFill="1" applyBorder="1" applyAlignment="1">
      <alignment vertical="center"/>
    </xf>
    <xf numFmtId="0" fontId="40" fillId="5" borderId="66" xfId="0" applyFont="1" applyFill="1" applyBorder="1" applyAlignment="1">
      <alignment horizontal="center" vertical="center"/>
    </xf>
    <xf numFmtId="3" fontId="40" fillId="5" borderId="66" xfId="0" applyNumberFormat="1" applyFont="1" applyFill="1" applyBorder="1" applyAlignment="1">
      <alignment horizontal="center" vertical="center"/>
    </xf>
    <xf numFmtId="0" fontId="53" fillId="6" borderId="69" xfId="0" applyFont="1" applyFill="1" applyBorder="1" applyAlignment="1">
      <alignment horizontal="center" vertical="center"/>
    </xf>
    <xf numFmtId="0" fontId="53" fillId="6" borderId="70" xfId="0" applyFont="1" applyFill="1" applyBorder="1" applyAlignment="1">
      <alignment horizontal="center" vertical="center"/>
    </xf>
    <xf numFmtId="3" fontId="53" fillId="6" borderId="70" xfId="0" applyNumberFormat="1" applyFont="1" applyFill="1" applyBorder="1" applyAlignment="1">
      <alignment horizontal="center" vertical="center"/>
    </xf>
    <xf numFmtId="0" fontId="41" fillId="2" borderId="71" xfId="0" applyFont="1" applyFill="1" applyBorder="1" applyAlignment="1">
      <alignment vertical="center"/>
    </xf>
    <xf numFmtId="0" fontId="40" fillId="2" borderId="3" xfId="0" applyFont="1" applyFill="1" applyBorder="1" applyAlignment="1">
      <alignment vertical="center"/>
    </xf>
    <xf numFmtId="0" fontId="40" fillId="2" borderId="4" xfId="0" applyFont="1" applyFill="1" applyBorder="1" applyAlignment="1">
      <alignment vertical="center"/>
    </xf>
    <xf numFmtId="0" fontId="41" fillId="7" borderId="3" xfId="0" applyFont="1" applyFill="1" applyBorder="1" applyAlignment="1">
      <alignment vertical="center"/>
    </xf>
    <xf numFmtId="0" fontId="41" fillId="7" borderId="4" xfId="0" applyFont="1" applyFill="1" applyBorder="1" applyAlignment="1">
      <alignment vertical="center"/>
    </xf>
    <xf numFmtId="0" fontId="41" fillId="7" borderId="5" xfId="0" applyFont="1" applyFill="1" applyBorder="1" applyAlignment="1">
      <alignment vertical="center"/>
    </xf>
    <xf numFmtId="0" fontId="41" fillId="7" borderId="4" xfId="0" applyFont="1" applyFill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/>
    </xf>
    <xf numFmtId="0" fontId="40" fillId="2" borderId="65" xfId="0" applyFont="1" applyFill="1" applyBorder="1" applyAlignment="1">
      <alignment horizontal="center" vertical="center"/>
    </xf>
    <xf numFmtId="0" fontId="40" fillId="2" borderId="67" xfId="0" applyFont="1" applyFill="1" applyBorder="1" applyAlignment="1">
      <alignment horizontal="center" vertical="center"/>
    </xf>
    <xf numFmtId="0" fontId="40" fillId="2" borderId="71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 wrapText="1"/>
    </xf>
    <xf numFmtId="165" fontId="43" fillId="6" borderId="21" xfId="1" applyNumberFormat="1" applyFont="1" applyFill="1" applyBorder="1" applyAlignment="1">
      <alignment horizontal="center" vertical="center"/>
    </xf>
    <xf numFmtId="165" fontId="43" fillId="6" borderId="50" xfId="1" applyNumberFormat="1" applyFont="1" applyFill="1" applyBorder="1" applyAlignment="1">
      <alignment horizontal="center" vertical="center"/>
    </xf>
    <xf numFmtId="165" fontId="43" fillId="5" borderId="50" xfId="1" applyNumberFormat="1" applyFont="1" applyFill="1" applyBorder="1" applyAlignment="1">
      <alignment horizontal="center" vertical="center"/>
    </xf>
    <xf numFmtId="165" fontId="41" fillId="5" borderId="50" xfId="1" applyNumberFormat="1" applyFont="1" applyFill="1" applyBorder="1" applyAlignment="1">
      <alignment horizontal="center" vertical="center"/>
    </xf>
    <xf numFmtId="165" fontId="94" fillId="6" borderId="21" xfId="1" applyNumberFormat="1" applyFont="1" applyFill="1" applyBorder="1" applyAlignment="1">
      <alignment horizontal="center" vertical="center"/>
    </xf>
    <xf numFmtId="165" fontId="94" fillId="6" borderId="50" xfId="1" applyNumberFormat="1" applyFont="1" applyFill="1" applyBorder="1" applyAlignment="1">
      <alignment horizontal="center" vertical="center"/>
    </xf>
    <xf numFmtId="165" fontId="43" fillId="6" borderId="51" xfId="1" applyNumberFormat="1" applyFont="1" applyFill="1" applyBorder="1" applyAlignment="1">
      <alignment horizontal="center" vertical="center"/>
    </xf>
    <xf numFmtId="3" fontId="43" fillId="5" borderId="64" xfId="0" applyNumberFormat="1" applyFont="1" applyFill="1" applyBorder="1" applyAlignment="1">
      <alignment horizontal="right" vertical="center"/>
    </xf>
    <xf numFmtId="3" fontId="43" fillId="6" borderId="66" xfId="0" applyNumberFormat="1" applyFont="1" applyFill="1" applyBorder="1" applyAlignment="1">
      <alignment horizontal="right" vertical="center"/>
    </xf>
    <xf numFmtId="3" fontId="41" fillId="6" borderId="66" xfId="0" applyNumberFormat="1" applyFont="1" applyFill="1" applyBorder="1" applyAlignment="1">
      <alignment horizontal="right" vertical="center"/>
    </xf>
    <xf numFmtId="3" fontId="43" fillId="6" borderId="70" xfId="0" applyNumberFormat="1" applyFont="1" applyFill="1" applyBorder="1" applyAlignment="1">
      <alignment horizontal="right" vertical="center"/>
    </xf>
    <xf numFmtId="165" fontId="41" fillId="2" borderId="0" xfId="1" applyNumberFormat="1" applyFont="1" applyFill="1" applyAlignment="1">
      <alignment horizontal="center" vertical="center"/>
    </xf>
    <xf numFmtId="0" fontId="53" fillId="6" borderId="68" xfId="0" applyFont="1" applyFill="1" applyBorder="1" applyAlignment="1">
      <alignment horizontal="center" vertical="center"/>
    </xf>
    <xf numFmtId="0" fontId="53" fillId="6" borderId="72" xfId="0" applyFont="1" applyFill="1" applyBorder="1" applyAlignment="1">
      <alignment horizontal="center" vertical="center"/>
    </xf>
    <xf numFmtId="0" fontId="53" fillId="6" borderId="73" xfId="0" applyFont="1" applyFill="1" applyBorder="1" applyAlignment="1">
      <alignment horizontal="center" vertical="center"/>
    </xf>
    <xf numFmtId="0" fontId="53" fillId="6" borderId="74" xfId="0" applyFont="1" applyFill="1" applyBorder="1" applyAlignment="1">
      <alignment horizontal="center" vertical="center"/>
    </xf>
    <xf numFmtId="0" fontId="53" fillId="6" borderId="75" xfId="0" applyFont="1" applyFill="1" applyBorder="1" applyAlignment="1">
      <alignment horizontal="center" vertical="center"/>
    </xf>
    <xf numFmtId="0" fontId="96" fillId="2" borderId="50" xfId="0" applyFont="1" applyFill="1" applyBorder="1" applyAlignment="1">
      <alignment horizontal="center" vertical="center" wrapText="1"/>
    </xf>
    <xf numFmtId="0" fontId="96" fillId="2" borderId="50" xfId="0" applyFont="1" applyFill="1" applyBorder="1" applyAlignment="1">
      <alignment vertical="center" wrapText="1"/>
    </xf>
    <xf numFmtId="2" fontId="96" fillId="2" borderId="50" xfId="0" applyNumberFormat="1" applyFont="1" applyFill="1" applyBorder="1" applyAlignment="1">
      <alignment horizontal="center" vertical="center" wrapText="1"/>
    </xf>
    <xf numFmtId="165" fontId="96" fillId="2" borderId="50" xfId="1" applyNumberFormat="1" applyFont="1" applyFill="1" applyBorder="1" applyAlignment="1">
      <alignment horizontal="center" vertical="center" wrapText="1"/>
    </xf>
    <xf numFmtId="165" fontId="91" fillId="6" borderId="50" xfId="1" applyNumberFormat="1" applyFont="1" applyFill="1" applyBorder="1" applyAlignment="1">
      <alignment horizontal="center" vertical="center"/>
    </xf>
    <xf numFmtId="0" fontId="96" fillId="2" borderId="50" xfId="0" applyFont="1" applyFill="1" applyBorder="1" applyAlignment="1">
      <alignment horizontal="center" vertical="center"/>
    </xf>
    <xf numFmtId="0" fontId="96" fillId="2" borderId="0" xfId="0" applyFont="1" applyFill="1" applyAlignment="1">
      <alignment vertical="center"/>
    </xf>
    <xf numFmtId="168" fontId="96" fillId="2" borderId="0" xfId="0" applyNumberFormat="1" applyFont="1" applyFill="1" applyAlignment="1">
      <alignment vertical="center"/>
    </xf>
    <xf numFmtId="0" fontId="96" fillId="2" borderId="50" xfId="0" applyFont="1" applyFill="1" applyBorder="1" applyAlignment="1">
      <alignment horizontal="left" vertical="center" wrapText="1"/>
    </xf>
    <xf numFmtId="0" fontId="97" fillId="2" borderId="50" xfId="0" applyFont="1" applyFill="1" applyBorder="1" applyAlignment="1">
      <alignment horizontal="center" vertical="center"/>
    </xf>
    <xf numFmtId="0" fontId="97" fillId="2" borderId="0" xfId="0" applyFont="1" applyFill="1" applyAlignment="1">
      <alignment vertical="center"/>
    </xf>
    <xf numFmtId="0" fontId="96" fillId="6" borderId="50" xfId="0" applyFont="1" applyFill="1" applyBorder="1" applyAlignment="1">
      <alignment horizontal="left" vertical="center"/>
    </xf>
    <xf numFmtId="0" fontId="96" fillId="6" borderId="50" xfId="0" applyFont="1" applyFill="1" applyBorder="1" applyAlignment="1">
      <alignment horizontal="center" vertical="center"/>
    </xf>
    <xf numFmtId="0" fontId="96" fillId="6" borderId="66" xfId="0" applyFont="1" applyFill="1" applyBorder="1" applyAlignment="1">
      <alignment horizontal="center" vertical="center"/>
    </xf>
    <xf numFmtId="3" fontId="96" fillId="6" borderId="66" xfId="0" applyNumberFormat="1" applyFont="1" applyFill="1" applyBorder="1" applyAlignment="1">
      <alignment horizontal="center" vertical="center"/>
    </xf>
    <xf numFmtId="3" fontId="91" fillId="6" borderId="66" xfId="0" applyNumberFormat="1" applyFont="1" applyFill="1" applyBorder="1" applyAlignment="1">
      <alignment horizontal="right" vertical="center"/>
    </xf>
    <xf numFmtId="0" fontId="96" fillId="2" borderId="67" xfId="0" applyFont="1" applyFill="1" applyBorder="1" applyAlignment="1">
      <alignment horizontal="center" vertical="center"/>
    </xf>
    <xf numFmtId="0" fontId="91" fillId="2" borderId="67" xfId="0" applyFont="1" applyFill="1" applyBorder="1" applyAlignment="1">
      <alignment vertical="center"/>
    </xf>
    <xf numFmtId="0" fontId="91" fillId="2" borderId="0" xfId="0" applyFont="1" applyFill="1" applyAlignment="1">
      <alignment vertical="center"/>
    </xf>
    <xf numFmtId="0" fontId="96" fillId="2" borderId="63" xfId="0" quotePrefix="1" applyFont="1" applyFill="1" applyBorder="1" applyAlignment="1">
      <alignment horizontal="center" vertical="center" wrapText="1"/>
    </xf>
    <xf numFmtId="1" fontId="96" fillId="2" borderId="50" xfId="1" applyNumberFormat="1" applyFont="1" applyFill="1" applyBorder="1" applyAlignment="1" applyProtection="1">
      <alignment horizontal="left" vertical="center"/>
      <protection locked="0"/>
    </xf>
    <xf numFmtId="1" fontId="96" fillId="2" borderId="50" xfId="1" applyNumberFormat="1" applyFont="1" applyFill="1" applyBorder="1" applyAlignment="1" applyProtection="1">
      <alignment horizontal="center" vertical="center" wrapText="1"/>
      <protection locked="0"/>
    </xf>
    <xf numFmtId="17" fontId="97" fillId="2" borderId="0" xfId="0" applyNumberFormat="1" applyFont="1" applyFill="1" applyAlignment="1">
      <alignment vertical="center"/>
    </xf>
    <xf numFmtId="0" fontId="96" fillId="5" borderId="50" xfId="0" applyFont="1" applyFill="1" applyBorder="1" applyAlignment="1">
      <alignment horizontal="left" vertical="center"/>
    </xf>
    <xf numFmtId="0" fontId="96" fillId="5" borderId="50" xfId="0" applyFont="1" applyFill="1" applyBorder="1" applyAlignment="1">
      <alignment horizontal="center" vertical="center"/>
    </xf>
    <xf numFmtId="0" fontId="91" fillId="2" borderId="50" xfId="0" applyFont="1" applyFill="1" applyBorder="1" applyAlignment="1">
      <alignment horizontal="center" vertical="center" wrapText="1"/>
    </xf>
    <xf numFmtId="3" fontId="96" fillId="6" borderId="50" xfId="0" applyNumberFormat="1" applyFont="1" applyFill="1" applyBorder="1" applyAlignment="1">
      <alignment horizontal="left" vertical="center"/>
    </xf>
    <xf numFmtId="0" fontId="96" fillId="2" borderId="51" xfId="0" applyFont="1" applyFill="1" applyBorder="1" applyAlignment="1">
      <alignment vertical="center" wrapText="1"/>
    </xf>
    <xf numFmtId="0" fontId="96" fillId="2" borderId="51" xfId="0" applyFont="1" applyFill="1" applyBorder="1" applyAlignment="1">
      <alignment horizontal="center" vertical="center" wrapText="1"/>
    </xf>
    <xf numFmtId="2" fontId="96" fillId="2" borderId="51" xfId="0" applyNumberFormat="1" applyFont="1" applyFill="1" applyBorder="1" applyAlignment="1">
      <alignment horizontal="center" vertical="center" wrapText="1"/>
    </xf>
    <xf numFmtId="165" fontId="96" fillId="2" borderId="51" xfId="1" applyNumberFormat="1" applyFont="1" applyFill="1" applyBorder="1" applyAlignment="1">
      <alignment horizontal="left" vertical="center" wrapText="1"/>
    </xf>
    <xf numFmtId="165" fontId="91" fillId="2" borderId="51" xfId="1" applyNumberFormat="1" applyFont="1" applyFill="1" applyBorder="1" applyAlignment="1">
      <alignment horizontal="center" vertical="center" wrapText="1"/>
    </xf>
    <xf numFmtId="0" fontId="91" fillId="2" borderId="51" xfId="0" applyFont="1" applyFill="1" applyBorder="1" applyAlignment="1">
      <alignment horizontal="center" vertical="center" wrapText="1"/>
    </xf>
    <xf numFmtId="0" fontId="41" fillId="8" borderId="6" xfId="0" applyFont="1" applyFill="1" applyBorder="1" applyAlignment="1">
      <alignment horizontal="center" vertical="center" wrapText="1"/>
    </xf>
    <xf numFmtId="2" fontId="41" fillId="8" borderId="6" xfId="0" applyNumberFormat="1" applyFont="1" applyFill="1" applyBorder="1" applyAlignment="1">
      <alignment horizontal="center" vertical="center" wrapText="1"/>
    </xf>
    <xf numFmtId="165" fontId="41" fillId="8" borderId="6" xfId="1" applyNumberFormat="1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/>
    </xf>
    <xf numFmtId="165" fontId="9" fillId="8" borderId="6" xfId="1" applyNumberFormat="1" applyFont="1" applyFill="1" applyBorder="1" applyAlignment="1" applyProtection="1">
      <alignment horizontal="center" vertical="center" textRotation="90" wrapText="1"/>
    </xf>
    <xf numFmtId="0" fontId="9" fillId="8" borderId="7" xfId="0" applyFont="1" applyFill="1" applyBorder="1" applyAlignment="1">
      <alignment horizontal="center" vertical="center" textRotation="90" wrapText="1"/>
    </xf>
    <xf numFmtId="1" fontId="13" fillId="8" borderId="7" xfId="0" applyNumberFormat="1" applyFont="1" applyFill="1" applyBorder="1" applyAlignment="1">
      <alignment horizontal="center" vertical="center" textRotation="90" wrapText="1"/>
    </xf>
    <xf numFmtId="1" fontId="9" fillId="8" borderId="7" xfId="0" applyNumberFormat="1" applyFont="1" applyFill="1" applyBorder="1" applyAlignment="1">
      <alignment horizontal="center" vertical="center" textRotation="90" wrapText="1"/>
    </xf>
    <xf numFmtId="1" fontId="13" fillId="8" borderId="6" xfId="0" applyNumberFormat="1" applyFont="1" applyFill="1" applyBorder="1" applyAlignment="1" applyProtection="1">
      <alignment horizontal="center" vertical="center" wrapText="1"/>
      <protection locked="0"/>
    </xf>
    <xf numFmtId="165" fontId="9" fillId="8" borderId="5" xfId="1" applyNumberFormat="1" applyFont="1" applyFill="1" applyBorder="1" applyAlignment="1" applyProtection="1">
      <alignment vertical="center"/>
      <protection locked="0"/>
    </xf>
    <xf numFmtId="0" fontId="10" fillId="2" borderId="39" xfId="0" applyFont="1" applyFill="1" applyBorder="1" applyAlignment="1" applyProtection="1">
      <alignment horizontal="center" vertical="center" wrapText="1"/>
      <protection locked="0"/>
    </xf>
    <xf numFmtId="1" fontId="10" fillId="2" borderId="39" xfId="1" applyNumberFormat="1" applyFont="1" applyFill="1" applyBorder="1" applyAlignment="1" applyProtection="1">
      <alignment horizontal="left" vertical="center"/>
      <protection locked="0"/>
    </xf>
    <xf numFmtId="1" fontId="10" fillId="2" borderId="39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39" xfId="1" applyNumberFormat="1" applyFont="1" applyFill="1" applyBorder="1" applyAlignment="1" applyProtection="1">
      <alignment horizontal="center" vertical="center"/>
      <protection locked="0"/>
    </xf>
    <xf numFmtId="165" fontId="10" fillId="2" borderId="39" xfId="1" applyNumberFormat="1" applyFont="1" applyFill="1" applyBorder="1" applyAlignment="1" applyProtection="1">
      <alignment horizontal="center" vertical="center"/>
      <protection locked="0"/>
    </xf>
    <xf numFmtId="0" fontId="10" fillId="2" borderId="51" xfId="0" applyFont="1" applyFill="1" applyBorder="1" applyAlignment="1" applyProtection="1">
      <alignment horizontal="center" vertical="center" wrapText="1"/>
      <protection locked="0"/>
    </xf>
    <xf numFmtId="1" fontId="10" fillId="2" borderId="51" xfId="1" applyNumberFormat="1" applyFont="1" applyFill="1" applyBorder="1" applyAlignment="1" applyProtection="1">
      <alignment horizontal="left" vertical="center"/>
      <protection locked="0"/>
    </xf>
    <xf numFmtId="1" fontId="10" fillId="2" borderId="51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51" xfId="1" applyNumberFormat="1" applyFont="1" applyFill="1" applyBorder="1" applyAlignment="1" applyProtection="1">
      <alignment horizontal="center" vertical="center"/>
      <protection locked="0"/>
    </xf>
    <xf numFmtId="165" fontId="10" fillId="2" borderId="51" xfId="1" applyNumberFormat="1" applyFont="1" applyFill="1" applyBorder="1" applyAlignment="1" applyProtection="1">
      <alignment horizontal="center" vertical="center"/>
      <protection locked="0"/>
    </xf>
    <xf numFmtId="0" fontId="12" fillId="2" borderId="39" xfId="0" applyFont="1" applyFill="1" applyBorder="1" applyAlignment="1" applyProtection="1">
      <alignment horizontal="center" vertical="center" wrapText="1"/>
      <protection locked="0"/>
    </xf>
    <xf numFmtId="0" fontId="52" fillId="2" borderId="76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0" fillId="2" borderId="77" xfId="0" applyFill="1" applyBorder="1" applyAlignment="1">
      <alignment vertical="center" wrapText="1"/>
    </xf>
    <xf numFmtId="0" fontId="0" fillId="2" borderId="77" xfId="0" applyFill="1" applyBorder="1" applyAlignment="1">
      <alignment horizontal="center" vertical="center" wrapText="1"/>
    </xf>
    <xf numFmtId="15" fontId="0" fillId="2" borderId="77" xfId="0" applyNumberFormat="1" applyFill="1" applyBorder="1" applyAlignment="1">
      <alignment horizontal="center" vertical="center" wrapText="1"/>
    </xf>
    <xf numFmtId="0" fontId="0" fillId="2" borderId="78" xfId="0" applyFill="1" applyBorder="1" applyAlignment="1">
      <alignment horizontal="center" vertical="center" wrapText="1"/>
    </xf>
    <xf numFmtId="0" fontId="0" fillId="2" borderId="79" xfId="0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165" fontId="2" fillId="2" borderId="79" xfId="1" applyNumberFormat="1" applyFont="1" applyFill="1" applyBorder="1" applyAlignment="1">
      <alignment horizontal="center" vertical="center"/>
    </xf>
    <xf numFmtId="165" fontId="0" fillId="2" borderId="47" xfId="1" applyNumberFormat="1" applyFont="1" applyFill="1" applyBorder="1" applyAlignment="1">
      <alignment vertical="center" wrapText="1"/>
    </xf>
    <xf numFmtId="43" fontId="13" fillId="8" borderId="6" xfId="1" applyFont="1" applyFill="1" applyBorder="1" applyAlignment="1" applyProtection="1">
      <alignment horizontal="center" vertical="center" wrapText="1"/>
    </xf>
    <xf numFmtId="43" fontId="13" fillId="8" borderId="6" xfId="1" applyFont="1" applyFill="1" applyBorder="1" applyAlignment="1" applyProtection="1">
      <alignment horizontal="center" vertical="center"/>
    </xf>
    <xf numFmtId="1" fontId="13" fillId="8" borderId="6" xfId="0" applyNumberFormat="1" applyFont="1" applyFill="1" applyBorder="1" applyAlignment="1">
      <alignment horizontal="center" vertical="center" textRotation="90" wrapText="1"/>
    </xf>
    <xf numFmtId="165" fontId="13" fillId="8" borderId="6" xfId="1" applyNumberFormat="1" applyFont="1" applyFill="1" applyBorder="1" applyAlignment="1" applyProtection="1">
      <alignment horizontal="center" vertical="center" textRotation="90" wrapText="1"/>
    </xf>
    <xf numFmtId="1" fontId="13" fillId="8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3" fillId="8" borderId="14" xfId="0" applyFont="1" applyFill="1" applyBorder="1" applyAlignment="1" applyProtection="1">
      <alignment horizontal="center" vertical="center" wrapText="1"/>
      <protection locked="0"/>
    </xf>
    <xf numFmtId="1" fontId="13" fillId="8" borderId="14" xfId="1" applyNumberFormat="1" applyFont="1" applyFill="1" applyBorder="1" applyAlignment="1" applyProtection="1">
      <alignment horizontal="left" vertical="center"/>
      <protection locked="0"/>
    </xf>
    <xf numFmtId="1" fontId="13" fillId="8" borderId="14" xfId="1" applyNumberFormat="1" applyFont="1" applyFill="1" applyBorder="1" applyAlignment="1" applyProtection="1">
      <alignment horizontal="center" vertical="center" wrapText="1"/>
      <protection locked="0"/>
    </xf>
    <xf numFmtId="172" fontId="13" fillId="8" borderId="14" xfId="1" applyNumberFormat="1" applyFont="1" applyFill="1" applyBorder="1" applyAlignment="1" applyProtection="1">
      <alignment horizontal="center" vertical="center"/>
      <protection locked="0"/>
    </xf>
    <xf numFmtId="167" fontId="13" fillId="8" borderId="14" xfId="1" applyNumberFormat="1" applyFont="1" applyFill="1" applyBorder="1" applyAlignment="1" applyProtection="1">
      <alignment horizontal="center" vertical="center"/>
      <protection locked="0"/>
    </xf>
    <xf numFmtId="165" fontId="13" fillId="8" borderId="6" xfId="1" applyNumberFormat="1" applyFont="1" applyFill="1" applyBorder="1" applyAlignment="1" applyProtection="1">
      <alignment horizontal="left" vertical="center"/>
      <protection locked="0"/>
    </xf>
    <xf numFmtId="165" fontId="13" fillId="8" borderId="6" xfId="1" applyNumberFormat="1" applyFont="1" applyFill="1" applyBorder="1" applyAlignment="1" applyProtection="1">
      <alignment horizontal="center" vertical="center"/>
      <protection locked="0"/>
    </xf>
    <xf numFmtId="1" fontId="13" fillId="8" borderId="6" xfId="1" applyNumberFormat="1" applyFont="1" applyFill="1" applyBorder="1" applyAlignment="1" applyProtection="1">
      <alignment horizontal="center" vertical="center"/>
      <protection locked="0"/>
    </xf>
    <xf numFmtId="1" fontId="13" fillId="8" borderId="14" xfId="1" applyNumberFormat="1" applyFont="1" applyFill="1" applyBorder="1" applyAlignment="1" applyProtection="1">
      <alignment horizontal="center" vertical="center"/>
      <protection locked="0"/>
    </xf>
    <xf numFmtId="165" fontId="13" fillId="8" borderId="14" xfId="1" applyNumberFormat="1" applyFont="1" applyFill="1" applyBorder="1" applyAlignment="1" applyProtection="1">
      <alignment horizontal="center" vertical="center" wrapText="1"/>
    </xf>
    <xf numFmtId="43" fontId="13" fillId="8" borderId="6" xfId="1" applyFont="1" applyFill="1" applyBorder="1" applyAlignment="1" applyProtection="1">
      <alignment horizontal="center" vertical="center"/>
      <protection locked="0"/>
    </xf>
    <xf numFmtId="165" fontId="13" fillId="8" borderId="7" xfId="1" applyNumberFormat="1" applyFont="1" applyFill="1" applyBorder="1" applyAlignment="1" applyProtection="1">
      <alignment horizontal="center" vertical="center"/>
      <protection locked="0"/>
    </xf>
    <xf numFmtId="43" fontId="13" fillId="8" borderId="7" xfId="1" applyFont="1" applyFill="1" applyBorder="1" applyAlignment="1" applyProtection="1">
      <alignment horizontal="center" vertical="center"/>
      <protection locked="0"/>
    </xf>
    <xf numFmtId="1" fontId="10" fillId="2" borderId="22" xfId="1" applyNumberFormat="1" applyFont="1" applyFill="1" applyBorder="1" applyAlignment="1" applyProtection="1">
      <alignment horizontal="left" vertical="center"/>
      <protection locked="0"/>
    </xf>
    <xf numFmtId="1" fontId="10" fillId="2" borderId="22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22" xfId="1" applyNumberFormat="1" applyFont="1" applyFill="1" applyBorder="1" applyAlignment="1" applyProtection="1">
      <alignment horizontal="center" vertical="center"/>
      <protection locked="0"/>
    </xf>
    <xf numFmtId="167" fontId="10" fillId="0" borderId="22" xfId="1" applyNumberFormat="1" applyFont="1" applyFill="1" applyBorder="1" applyAlignment="1" applyProtection="1">
      <alignment horizontal="center" vertical="center"/>
      <protection locked="0"/>
    </xf>
    <xf numFmtId="1" fontId="10" fillId="2" borderId="23" xfId="1" applyNumberFormat="1" applyFont="1" applyFill="1" applyBorder="1" applyAlignment="1" applyProtection="1">
      <alignment horizontal="center" vertical="center" wrapText="1"/>
    </xf>
    <xf numFmtId="165" fontId="10" fillId="2" borderId="23" xfId="1" applyNumberFormat="1" applyFont="1" applyFill="1" applyBorder="1" applyAlignment="1" applyProtection="1">
      <alignment horizontal="center" vertical="center" wrapText="1"/>
    </xf>
    <xf numFmtId="43" fontId="10" fillId="0" borderId="22" xfId="1" applyFont="1" applyFill="1" applyBorder="1" applyAlignment="1" applyProtection="1">
      <alignment vertical="center" wrapText="1"/>
      <protection locked="0"/>
    </xf>
    <xf numFmtId="165" fontId="13" fillId="0" borderId="22" xfId="1" applyNumberFormat="1" applyFont="1" applyFill="1" applyBorder="1" applyAlignment="1" applyProtection="1">
      <alignment horizontal="center" vertical="center" wrapText="1"/>
    </xf>
    <xf numFmtId="165" fontId="10" fillId="2" borderId="23" xfId="1" applyNumberFormat="1" applyFont="1" applyFill="1" applyBorder="1" applyAlignment="1" applyProtection="1">
      <alignment horizontal="left" vertical="center"/>
      <protection locked="0"/>
    </xf>
    <xf numFmtId="165" fontId="13" fillId="0" borderId="22" xfId="1" applyNumberFormat="1" applyFont="1" applyFill="1" applyBorder="1" applyAlignment="1">
      <alignment horizontal="center" vertical="center"/>
    </xf>
    <xf numFmtId="165" fontId="13" fillId="2" borderId="22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22" xfId="1" applyNumberFormat="1" applyFont="1" applyFill="1" applyBorder="1" applyAlignment="1" applyProtection="1">
      <alignment horizontal="center" vertical="center"/>
      <protection locked="0"/>
    </xf>
    <xf numFmtId="43" fontId="10" fillId="0" borderId="22" xfId="1" applyFont="1" applyFill="1" applyBorder="1" applyAlignment="1" applyProtection="1">
      <alignment horizontal="center" vertical="center"/>
      <protection locked="0"/>
    </xf>
    <xf numFmtId="165" fontId="13" fillId="8" borderId="35" xfId="1" applyNumberFormat="1" applyFont="1" applyFill="1" applyBorder="1" applyAlignment="1" applyProtection="1">
      <alignment horizontal="left" vertical="center"/>
      <protection locked="0"/>
    </xf>
    <xf numFmtId="43" fontId="14" fillId="8" borderId="6" xfId="1" applyFont="1" applyFill="1" applyBorder="1" applyAlignment="1" applyProtection="1">
      <alignment horizontal="center" vertical="center" wrapText="1"/>
    </xf>
    <xf numFmtId="43" fontId="14" fillId="8" borderId="6" xfId="1" applyFont="1" applyFill="1" applyBorder="1" applyAlignment="1" applyProtection="1">
      <alignment horizontal="center" vertical="center"/>
    </xf>
    <xf numFmtId="1" fontId="18" fillId="8" borderId="6" xfId="0" applyNumberFormat="1" applyFont="1" applyFill="1" applyBorder="1" applyAlignment="1">
      <alignment horizontal="center" vertical="center" textRotation="90" wrapText="1"/>
    </xf>
    <xf numFmtId="1" fontId="14" fillId="8" borderId="6" xfId="0" applyNumberFormat="1" applyFont="1" applyFill="1" applyBorder="1" applyAlignment="1">
      <alignment horizontal="center" vertical="center" textRotation="90" wrapText="1"/>
    </xf>
    <xf numFmtId="1" fontId="13" fillId="8" borderId="3" xfId="0" quotePrefix="1" applyNumberFormat="1" applyFont="1" applyFill="1" applyBorder="1" applyAlignment="1" applyProtection="1">
      <alignment horizontal="center" vertical="center" wrapText="1"/>
      <protection locked="0"/>
    </xf>
    <xf numFmtId="0" fontId="13" fillId="8" borderId="4" xfId="0" applyFont="1" applyFill="1" applyBorder="1" applyAlignment="1" applyProtection="1">
      <alignment horizontal="center" vertical="center" wrapText="1"/>
      <protection locked="0"/>
    </xf>
    <xf numFmtId="1" fontId="13" fillId="8" borderId="4" xfId="1" applyNumberFormat="1" applyFont="1" applyFill="1" applyBorder="1" applyAlignment="1" applyProtection="1">
      <alignment horizontal="left" vertical="center"/>
      <protection locked="0"/>
    </xf>
    <xf numFmtId="1" fontId="13" fillId="8" borderId="4" xfId="1" applyNumberFormat="1" applyFont="1" applyFill="1" applyBorder="1" applyAlignment="1" applyProtection="1">
      <alignment horizontal="center" vertical="center" wrapText="1"/>
      <protection locked="0"/>
    </xf>
    <xf numFmtId="1" fontId="13" fillId="8" borderId="4" xfId="1" applyNumberFormat="1" applyFont="1" applyFill="1" applyBorder="1" applyAlignment="1" applyProtection="1">
      <alignment horizontal="center" vertical="center"/>
      <protection locked="0"/>
    </xf>
    <xf numFmtId="167" fontId="13" fillId="8" borderId="4" xfId="1" applyNumberFormat="1" applyFont="1" applyFill="1" applyBorder="1" applyAlignment="1" applyProtection="1">
      <alignment horizontal="center" vertical="center"/>
      <protection locked="0"/>
    </xf>
    <xf numFmtId="165" fontId="13" fillId="8" borderId="4" xfId="1" applyNumberFormat="1" applyFont="1" applyFill="1" applyBorder="1" applyAlignment="1" applyProtection="1">
      <alignment horizontal="center" vertical="center" wrapText="1"/>
    </xf>
    <xf numFmtId="1" fontId="13" fillId="8" borderId="4" xfId="1" applyNumberFormat="1" applyFont="1" applyFill="1" applyBorder="1" applyAlignment="1" applyProtection="1">
      <alignment horizontal="center" vertical="center" wrapText="1"/>
    </xf>
    <xf numFmtId="0" fontId="13" fillId="8" borderId="6" xfId="0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1" fontId="10" fillId="0" borderId="2" xfId="1" applyNumberFormat="1" applyFont="1" applyFill="1" applyBorder="1" applyAlignment="1" applyProtection="1">
      <alignment horizontal="left" vertical="center"/>
      <protection locked="0"/>
    </xf>
    <xf numFmtId="1" fontId="10" fillId="0" borderId="2" xfId="1" applyNumberFormat="1" applyFont="1" applyFill="1" applyBorder="1" applyAlignment="1" applyProtection="1">
      <alignment horizontal="center" vertical="center" wrapText="1"/>
      <protection locked="0"/>
    </xf>
    <xf numFmtId="167" fontId="10" fillId="0" borderId="2" xfId="1" applyNumberFormat="1" applyFont="1" applyFill="1" applyBorder="1" applyAlignment="1" applyProtection="1">
      <alignment horizontal="center" vertical="center"/>
      <protection locked="0"/>
    </xf>
    <xf numFmtId="1" fontId="10" fillId="0" borderId="2" xfId="1" applyNumberFormat="1" applyFont="1" applyFill="1" applyBorder="1" applyAlignment="1" applyProtection="1">
      <alignment horizontal="center" vertical="center" wrapText="1"/>
    </xf>
    <xf numFmtId="165" fontId="10" fillId="0" borderId="2" xfId="1" applyNumberFormat="1" applyFont="1" applyFill="1" applyBorder="1" applyAlignment="1" applyProtection="1">
      <alignment horizontal="center" vertical="center" wrapText="1"/>
    </xf>
    <xf numFmtId="165" fontId="10" fillId="2" borderId="22" xfId="1" applyNumberFormat="1" applyFont="1" applyFill="1" applyBorder="1" applyAlignment="1" applyProtection="1">
      <alignment horizontal="left" vertical="center"/>
      <protection locked="0"/>
    </xf>
    <xf numFmtId="43" fontId="10" fillId="0" borderId="2" xfId="1" applyFont="1" applyFill="1" applyBorder="1" applyAlignment="1" applyProtection="1">
      <alignment vertical="center" wrapText="1"/>
      <protection locked="0"/>
    </xf>
    <xf numFmtId="165" fontId="13" fillId="0" borderId="2" xfId="1" applyNumberFormat="1" applyFont="1" applyFill="1" applyBorder="1" applyAlignment="1" applyProtection="1">
      <alignment horizontal="center" vertical="center" wrapText="1"/>
    </xf>
    <xf numFmtId="165" fontId="10" fillId="0" borderId="2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2" xfId="1" applyNumberFormat="1" applyFont="1" applyFill="1" applyBorder="1" applyAlignment="1">
      <alignment horizontal="center" vertical="center"/>
    </xf>
    <xf numFmtId="165" fontId="13" fillId="0" borderId="2" xfId="1" applyNumberFormat="1" applyFont="1" applyFill="1" applyBorder="1" applyAlignment="1">
      <alignment horizontal="center" vertical="center"/>
    </xf>
    <xf numFmtId="165" fontId="10" fillId="2" borderId="2" xfId="1" applyNumberFormat="1" applyFont="1" applyFill="1" applyBorder="1" applyAlignment="1" applyProtection="1">
      <alignment horizontal="left" vertical="center"/>
      <protection locked="0"/>
    </xf>
    <xf numFmtId="165" fontId="13" fillId="2" borderId="2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2" xfId="1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1" fontId="10" fillId="0" borderId="2" xfId="1" applyNumberFormat="1" applyFont="1" applyFill="1" applyBorder="1" applyAlignment="1" applyProtection="1">
      <alignment horizontal="center" vertical="center"/>
      <protection locked="0"/>
    </xf>
    <xf numFmtId="1" fontId="10" fillId="0" borderId="2" xfId="0" quotePrefix="1" applyNumberFormat="1" applyFont="1" applyBorder="1" applyAlignment="1" applyProtection="1">
      <alignment horizontal="center" vertical="center" wrapText="1"/>
      <protection locked="0"/>
    </xf>
    <xf numFmtId="0" fontId="41" fillId="2" borderId="0" xfId="0" applyFont="1" applyFill="1" applyAlignment="1">
      <alignment horizontal="center" vertical="center"/>
    </xf>
    <xf numFmtId="171" fontId="13" fillId="8" borderId="14" xfId="1" applyNumberFormat="1" applyFont="1" applyFill="1" applyBorder="1" applyAlignment="1" applyProtection="1">
      <alignment horizontal="center" vertical="center"/>
      <protection locked="0"/>
    </xf>
    <xf numFmtId="1" fontId="9" fillId="8" borderId="6" xfId="0" applyNumberFormat="1" applyFont="1" applyFill="1" applyBorder="1" applyAlignment="1">
      <alignment horizontal="center" vertical="center" textRotation="90" wrapText="1"/>
    </xf>
    <xf numFmtId="1" fontId="13" fillId="8" borderId="3" xfId="0" quotePrefix="1" applyNumberFormat="1" applyFont="1" applyFill="1" applyBorder="1" applyAlignment="1" applyProtection="1">
      <alignment vertical="center" wrapText="1"/>
      <protection locked="0"/>
    </xf>
    <xf numFmtId="1" fontId="13" fillId="8" borderId="4" xfId="0" quotePrefix="1" applyNumberFormat="1" applyFont="1" applyFill="1" applyBorder="1" applyAlignment="1" applyProtection="1">
      <alignment vertical="center" wrapText="1"/>
      <protection locked="0"/>
    </xf>
    <xf numFmtId="171" fontId="13" fillId="8" borderId="4" xfId="0" quotePrefix="1" applyNumberFormat="1" applyFont="1" applyFill="1" applyBorder="1" applyAlignment="1" applyProtection="1">
      <alignment vertical="center" wrapText="1"/>
      <protection locked="0"/>
    </xf>
    <xf numFmtId="1" fontId="13" fillId="8" borderId="5" xfId="0" quotePrefix="1" applyNumberFormat="1" applyFont="1" applyFill="1" applyBorder="1" applyAlignment="1" applyProtection="1">
      <alignment vertical="center" wrapText="1"/>
      <protection locked="0"/>
    </xf>
    <xf numFmtId="1" fontId="13" fillId="8" borderId="7" xfId="1" applyNumberFormat="1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Alignment="1">
      <alignment horizontal="left"/>
    </xf>
    <xf numFmtId="0" fontId="30" fillId="2" borderId="0" xfId="0" applyFont="1" applyFill="1"/>
    <xf numFmtId="0" fontId="31" fillId="2" borderId="0" xfId="0" applyFont="1" applyFill="1" applyAlignment="1">
      <alignment horizontal="left" vertical="center"/>
    </xf>
    <xf numFmtId="0" fontId="31" fillId="2" borderId="0" xfId="0" applyFont="1" applyFill="1" applyAlignment="1">
      <alignment horizontal="right" vertical="center"/>
    </xf>
    <xf numFmtId="0" fontId="32" fillId="2" borderId="0" xfId="0" applyFont="1" applyFill="1" applyAlignment="1">
      <alignment horizontal="left" vertical="top"/>
    </xf>
    <xf numFmtId="0" fontId="34" fillId="2" borderId="0" xfId="0" applyFont="1" applyFill="1" applyAlignment="1">
      <alignment horizontal="left" vertical="center"/>
    </xf>
    <xf numFmtId="165" fontId="30" fillId="2" borderId="0" xfId="1" applyNumberFormat="1" applyFont="1" applyFill="1"/>
    <xf numFmtId="0" fontId="35" fillId="2" borderId="0" xfId="0" applyFont="1" applyFill="1" applyAlignment="1">
      <alignment horizontal="left" vertical="center"/>
    </xf>
    <xf numFmtId="14" fontId="30" fillId="2" borderId="0" xfId="0" applyNumberFormat="1" applyFont="1" applyFill="1"/>
    <xf numFmtId="1" fontId="15" fillId="2" borderId="0" xfId="0" applyNumberFormat="1" applyFont="1" applyFill="1" applyAlignment="1" applyProtection="1">
      <alignment vertical="center"/>
      <protection locked="0"/>
    </xf>
    <xf numFmtId="49" fontId="65" fillId="8" borderId="3" xfId="6" applyNumberFormat="1" applyFont="1" applyFill="1" applyBorder="1" applyAlignment="1">
      <alignment vertical="center"/>
    </xf>
    <xf numFmtId="0" fontId="66" fillId="8" borderId="3" xfId="6" applyFont="1" applyFill="1" applyBorder="1" applyAlignment="1">
      <alignment vertical="center"/>
    </xf>
    <xf numFmtId="0" fontId="65" fillId="8" borderId="4" xfId="6" applyFont="1" applyFill="1" applyBorder="1" applyAlignment="1">
      <alignment vertical="center"/>
    </xf>
    <xf numFmtId="0" fontId="65" fillId="8" borderId="3" xfId="6" applyFont="1" applyFill="1" applyBorder="1" applyAlignment="1">
      <alignment horizontal="center" vertical="center"/>
    </xf>
    <xf numFmtId="0" fontId="65" fillId="8" borderId="6" xfId="6" applyFont="1" applyFill="1" applyBorder="1" applyAlignment="1">
      <alignment horizontal="center" vertical="center"/>
    </xf>
    <xf numFmtId="0" fontId="65" fillId="8" borderId="5" xfId="6" applyFont="1" applyFill="1" applyBorder="1" applyAlignment="1">
      <alignment horizontal="center" vertical="center"/>
    </xf>
    <xf numFmtId="168" fontId="62" fillId="8" borderId="3" xfId="5" applyNumberFormat="1" applyFont="1" applyFill="1" applyBorder="1" applyAlignment="1">
      <alignment horizontal="center" vertical="center" wrapText="1"/>
    </xf>
    <xf numFmtId="165" fontId="65" fillId="8" borderId="6" xfId="1" applyNumberFormat="1" applyFont="1" applyFill="1" applyBorder="1" applyAlignment="1">
      <alignment vertical="center"/>
    </xf>
    <xf numFmtId="0" fontId="87" fillId="8" borderId="6" xfId="9" applyFont="1" applyFill="1" applyBorder="1" applyAlignment="1">
      <alignment horizontal="center" vertical="center"/>
    </xf>
    <xf numFmtId="0" fontId="87" fillId="8" borderId="6" xfId="9" applyFont="1" applyFill="1" applyBorder="1" applyAlignment="1">
      <alignment horizontal="center" vertical="center" wrapText="1"/>
    </xf>
    <xf numFmtId="165" fontId="87" fillId="8" borderId="6" xfId="1" applyNumberFormat="1" applyFont="1" applyFill="1" applyBorder="1" applyAlignment="1">
      <alignment horizontal="center" vertical="center" wrapText="1"/>
    </xf>
    <xf numFmtId="0" fontId="43" fillId="9" borderId="6" xfId="0" applyFont="1" applyFill="1" applyBorder="1" applyAlignment="1">
      <alignment horizontal="center" vertical="center" wrapText="1"/>
    </xf>
    <xf numFmtId="14" fontId="43" fillId="9" borderId="6" xfId="0" applyNumberFormat="1" applyFont="1" applyFill="1" applyBorder="1" applyAlignment="1">
      <alignment horizontal="center" vertical="center" wrapText="1"/>
    </xf>
    <xf numFmtId="49" fontId="43" fillId="9" borderId="6" xfId="0" applyNumberFormat="1" applyFont="1" applyFill="1" applyBorder="1" applyAlignment="1">
      <alignment horizontal="center" vertical="center" wrapText="1"/>
    </xf>
    <xf numFmtId="0" fontId="43" fillId="9" borderId="6" xfId="1" applyNumberFormat="1" applyFont="1" applyFill="1" applyBorder="1" applyAlignment="1">
      <alignment horizontal="center" vertical="center" wrapText="1"/>
    </xf>
    <xf numFmtId="1" fontId="43" fillId="9" borderId="6" xfId="0" applyNumberFormat="1" applyFont="1" applyFill="1" applyBorder="1" applyAlignment="1">
      <alignment horizontal="center" vertical="center" wrapText="1"/>
    </xf>
    <xf numFmtId="165" fontId="43" fillId="9" borderId="6" xfId="1" applyNumberFormat="1" applyFont="1" applyFill="1" applyBorder="1" applyAlignment="1">
      <alignment horizontal="center" vertical="center" wrapText="1"/>
    </xf>
    <xf numFmtId="165" fontId="81" fillId="2" borderId="6" xfId="1" applyNumberFormat="1" applyFont="1" applyFill="1" applyBorder="1" applyAlignment="1">
      <alignment horizontal="right" vertical="center"/>
    </xf>
    <xf numFmtId="43" fontId="9" fillId="3" borderId="32" xfId="1" applyFont="1" applyFill="1" applyBorder="1" applyAlignment="1">
      <alignment horizontal="center" vertical="center" wrapText="1"/>
    </xf>
    <xf numFmtId="0" fontId="50" fillId="2" borderId="0" xfId="0" applyFont="1" applyFill="1" applyAlignment="1">
      <alignment horizontal="center" vertical="center"/>
    </xf>
    <xf numFmtId="0" fontId="9" fillId="8" borderId="3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165" fontId="9" fillId="8" borderId="3" xfId="0" applyNumberFormat="1" applyFont="1" applyFill="1" applyBorder="1" applyAlignment="1" applyProtection="1">
      <alignment horizontal="left" vertical="center"/>
      <protection locked="0"/>
    </xf>
    <xf numFmtId="165" fontId="9" fillId="8" borderId="5" xfId="0" applyNumberFormat="1" applyFont="1" applyFill="1" applyBorder="1" applyAlignment="1" applyProtection="1">
      <alignment horizontal="left" vertical="center"/>
      <protection locked="0"/>
    </xf>
    <xf numFmtId="1" fontId="49" fillId="2" borderId="0" xfId="0" applyNumberFormat="1" applyFont="1" applyFill="1" applyAlignment="1" applyProtection="1">
      <alignment horizontal="center" vertical="center"/>
      <protection locked="0"/>
    </xf>
    <xf numFmtId="0" fontId="9" fillId="8" borderId="2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textRotation="90" wrapText="1"/>
    </xf>
    <xf numFmtId="0" fontId="9" fillId="8" borderId="7" xfId="0" applyFont="1" applyFill="1" applyBorder="1" applyAlignment="1">
      <alignment horizontal="center" vertical="center" textRotation="90" wrapText="1"/>
    </xf>
    <xf numFmtId="1" fontId="9" fillId="8" borderId="6" xfId="0" applyNumberFormat="1" applyFont="1" applyFill="1" applyBorder="1" applyAlignment="1">
      <alignment horizontal="center" vertical="center" wrapText="1"/>
    </xf>
    <xf numFmtId="43" fontId="9" fillId="8" borderId="2" xfId="1" applyFont="1" applyFill="1" applyBorder="1" applyAlignment="1">
      <alignment horizontal="center" vertical="center" textRotation="90"/>
    </xf>
    <xf numFmtId="43" fontId="9" fillId="8" borderId="7" xfId="1" applyFont="1" applyFill="1" applyBorder="1" applyAlignment="1">
      <alignment horizontal="center" vertical="center" textRotation="90"/>
    </xf>
    <xf numFmtId="43" fontId="9" fillId="8" borderId="2" xfId="1" applyFont="1" applyFill="1" applyBorder="1" applyAlignment="1">
      <alignment horizontal="center" vertical="center" wrapText="1"/>
    </xf>
    <xf numFmtId="43" fontId="9" fillId="8" borderId="7" xfId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1" fontId="14" fillId="8" borderId="6" xfId="0" applyNumberFormat="1" applyFont="1" applyFill="1" applyBorder="1" applyAlignment="1">
      <alignment horizontal="center" vertical="center" textRotation="90"/>
    </xf>
    <xf numFmtId="165" fontId="13" fillId="8" borderId="2" xfId="1" applyNumberFormat="1" applyFont="1" applyFill="1" applyBorder="1" applyAlignment="1" applyProtection="1">
      <alignment horizontal="center" vertical="center" textRotation="90" wrapText="1"/>
    </xf>
    <xf numFmtId="165" fontId="13" fillId="8" borderId="7" xfId="1" applyNumberFormat="1" applyFont="1" applyFill="1" applyBorder="1" applyAlignment="1" applyProtection="1">
      <alignment horizontal="center" vertical="center" textRotation="90" wrapText="1"/>
    </xf>
    <xf numFmtId="43" fontId="14" fillId="8" borderId="6" xfId="1" applyFont="1" applyFill="1" applyBorder="1" applyAlignment="1" applyProtection="1">
      <alignment horizontal="center" vertical="center" wrapText="1"/>
    </xf>
    <xf numFmtId="1" fontId="17" fillId="8" borderId="6" xfId="0" applyNumberFormat="1" applyFont="1" applyFill="1" applyBorder="1" applyAlignment="1">
      <alignment horizontal="center" vertical="center" wrapText="1"/>
    </xf>
    <xf numFmtId="43" fontId="14" fillId="8" borderId="6" xfId="1" applyFont="1" applyFill="1" applyBorder="1" applyAlignment="1" applyProtection="1">
      <alignment horizontal="center" vertical="center" textRotation="90" wrapText="1"/>
    </xf>
    <xf numFmtId="43" fontId="14" fillId="8" borderId="6" xfId="1" applyFont="1" applyFill="1" applyBorder="1" applyAlignment="1">
      <alignment horizontal="center" vertical="center" textRotation="90" wrapText="1"/>
    </xf>
    <xf numFmtId="1" fontId="17" fillId="8" borderId="3" xfId="0" applyNumberFormat="1" applyFont="1" applyFill="1" applyBorder="1" applyAlignment="1">
      <alignment horizontal="center" vertical="center" wrapText="1"/>
    </xf>
    <xf numFmtId="1" fontId="17" fillId="8" borderId="4" xfId="0" applyNumberFormat="1" applyFont="1" applyFill="1" applyBorder="1" applyAlignment="1">
      <alignment horizontal="center" vertical="center" wrapText="1"/>
    </xf>
    <xf numFmtId="1" fontId="17" fillId="8" borderId="5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Alignment="1" applyProtection="1">
      <alignment horizontal="center" vertical="center"/>
      <protection locked="0"/>
    </xf>
    <xf numFmtId="1" fontId="15" fillId="2" borderId="0" xfId="0" applyNumberFormat="1" applyFont="1" applyFill="1" applyAlignment="1" applyProtection="1">
      <alignment horizontal="center" vertical="center"/>
      <protection locked="0"/>
    </xf>
    <xf numFmtId="1" fontId="17" fillId="2" borderId="0" xfId="0" applyNumberFormat="1" applyFont="1" applyFill="1" applyAlignment="1" applyProtection="1">
      <alignment horizontal="center" vertical="center"/>
      <protection locked="0"/>
    </xf>
    <xf numFmtId="1" fontId="14" fillId="8" borderId="6" xfId="0" applyNumberFormat="1" applyFont="1" applyFill="1" applyBorder="1" applyAlignment="1">
      <alignment horizontal="center" vertical="center" wrapText="1"/>
    </xf>
    <xf numFmtId="1" fontId="13" fillId="8" borderId="6" xfId="0" applyNumberFormat="1" applyFont="1" applyFill="1" applyBorder="1" applyAlignment="1">
      <alignment horizontal="center" vertical="center" textRotation="90" wrapText="1"/>
    </xf>
    <xf numFmtId="172" fontId="13" fillId="8" borderId="6" xfId="0" applyNumberFormat="1" applyFont="1" applyFill="1" applyBorder="1" applyAlignment="1">
      <alignment horizontal="center" vertical="center" textRotation="90" wrapText="1"/>
    </xf>
    <xf numFmtId="165" fontId="13" fillId="8" borderId="6" xfId="1" applyNumberFormat="1" applyFont="1" applyFill="1" applyBorder="1" applyAlignment="1" applyProtection="1">
      <alignment horizontal="center" vertical="center" textRotation="90" wrapText="1"/>
    </xf>
    <xf numFmtId="43" fontId="17" fillId="8" borderId="6" xfId="1" applyFont="1" applyFill="1" applyBorder="1" applyAlignment="1" applyProtection="1">
      <alignment horizontal="center" vertical="center"/>
    </xf>
    <xf numFmtId="1" fontId="14" fillId="8" borderId="6" xfId="0" applyNumberFormat="1" applyFont="1" applyFill="1" applyBorder="1" applyAlignment="1">
      <alignment horizontal="center" vertical="center"/>
    </xf>
    <xf numFmtId="1" fontId="13" fillId="2" borderId="6" xfId="0" quotePrefix="1" applyNumberFormat="1" applyFont="1" applyFill="1" applyBorder="1" applyAlignment="1" applyProtection="1">
      <alignment horizontal="left" vertical="center" wrapText="1"/>
      <protection locked="0"/>
    </xf>
    <xf numFmtId="165" fontId="14" fillId="8" borderId="6" xfId="1" applyNumberFormat="1" applyFont="1" applyFill="1" applyBorder="1" applyAlignment="1" applyProtection="1">
      <alignment horizontal="center" vertical="center" textRotation="90" wrapText="1"/>
    </xf>
    <xf numFmtId="165" fontId="14" fillId="8" borderId="2" xfId="1" applyNumberFormat="1" applyFont="1" applyFill="1" applyBorder="1" applyAlignment="1" applyProtection="1">
      <alignment horizontal="center" vertical="center" textRotation="90" wrapText="1"/>
    </xf>
    <xf numFmtId="165" fontId="14" fillId="8" borderId="7" xfId="1" applyNumberFormat="1" applyFont="1" applyFill="1" applyBorder="1" applyAlignment="1" applyProtection="1">
      <alignment horizontal="center" vertical="center" textRotation="90" wrapText="1"/>
    </xf>
    <xf numFmtId="1" fontId="14" fillId="8" borderId="6" xfId="0" quotePrefix="1" applyNumberFormat="1" applyFont="1" applyFill="1" applyBorder="1" applyAlignment="1" applyProtection="1">
      <alignment horizontal="center" vertical="center" wrapText="1"/>
      <protection locked="0"/>
    </xf>
    <xf numFmtId="1" fontId="14" fillId="8" borderId="6" xfId="0" applyNumberFormat="1" applyFont="1" applyFill="1" applyBorder="1" applyAlignment="1">
      <alignment horizontal="center" vertical="center" textRotation="90" wrapText="1"/>
    </xf>
    <xf numFmtId="0" fontId="14" fillId="8" borderId="6" xfId="0" applyFont="1" applyFill="1" applyBorder="1" applyAlignment="1" applyProtection="1">
      <alignment horizontal="center" vertical="center" textRotation="90"/>
      <protection locked="0"/>
    </xf>
    <xf numFmtId="1" fontId="19" fillId="2" borderId="29" xfId="0" quotePrefix="1" applyNumberFormat="1" applyFont="1" applyFill="1" applyBorder="1" applyAlignment="1" applyProtection="1">
      <alignment horizontal="left" vertical="center" wrapText="1"/>
      <protection locked="0"/>
    </xf>
    <xf numFmtId="1" fontId="19" fillId="2" borderId="30" xfId="0" quotePrefix="1" applyNumberFormat="1" applyFont="1" applyFill="1" applyBorder="1" applyAlignment="1" applyProtection="1">
      <alignment horizontal="left" vertical="center" wrapText="1"/>
      <protection locked="0"/>
    </xf>
    <xf numFmtId="43" fontId="14" fillId="8" borderId="6" xfId="1" applyFont="1" applyFill="1" applyBorder="1" applyAlignment="1" applyProtection="1">
      <alignment horizontal="center" vertical="center"/>
    </xf>
    <xf numFmtId="43" fontId="14" fillId="8" borderId="2" xfId="1" applyFont="1" applyFill="1" applyBorder="1" applyAlignment="1" applyProtection="1">
      <alignment horizontal="center" vertical="center" textRotation="90" wrapText="1"/>
    </xf>
    <xf numFmtId="43" fontId="14" fillId="8" borderId="7" xfId="1" applyFont="1" applyFill="1" applyBorder="1" applyAlignment="1" applyProtection="1">
      <alignment horizontal="center" vertical="center" textRotation="90" wrapText="1"/>
    </xf>
    <xf numFmtId="1" fontId="13" fillId="8" borderId="6" xfId="0" quotePrefix="1" applyNumberFormat="1" applyFont="1" applyFill="1" applyBorder="1" applyAlignment="1" applyProtection="1">
      <alignment horizontal="center" vertical="center" wrapText="1"/>
      <protection locked="0"/>
    </xf>
    <xf numFmtId="1" fontId="13" fillId="8" borderId="6" xfId="0" applyNumberFormat="1" applyFont="1" applyFill="1" applyBorder="1" applyAlignment="1">
      <alignment horizontal="center" vertical="center" wrapText="1"/>
    </xf>
    <xf numFmtId="171" fontId="13" fillId="8" borderId="6" xfId="0" applyNumberFormat="1" applyFont="1" applyFill="1" applyBorder="1" applyAlignment="1">
      <alignment horizontal="center" vertical="center" textRotation="90" wrapText="1"/>
    </xf>
    <xf numFmtId="165" fontId="14" fillId="8" borderId="6" xfId="1" applyNumberFormat="1" applyFont="1" applyFill="1" applyBorder="1" applyAlignment="1" applyProtection="1">
      <alignment horizontal="center" vertical="center"/>
    </xf>
    <xf numFmtId="1" fontId="14" fillId="3" borderId="6" xfId="0" applyNumberFormat="1" applyFont="1" applyFill="1" applyBorder="1" applyAlignment="1">
      <alignment horizontal="center" vertical="center" textRotation="90"/>
    </xf>
    <xf numFmtId="1" fontId="14" fillId="3" borderId="6" xfId="0" applyNumberFormat="1" applyFont="1" applyFill="1" applyBorder="1" applyAlignment="1">
      <alignment horizontal="center" vertical="center"/>
    </xf>
    <xf numFmtId="43" fontId="14" fillId="3" borderId="6" xfId="1" applyFont="1" applyFill="1" applyBorder="1" applyAlignment="1" applyProtection="1">
      <alignment horizontal="center" vertical="center" wrapText="1"/>
    </xf>
    <xf numFmtId="1" fontId="17" fillId="3" borderId="6" xfId="0" applyNumberFormat="1" applyFont="1" applyFill="1" applyBorder="1" applyAlignment="1">
      <alignment horizontal="center" vertical="center" wrapText="1"/>
    </xf>
    <xf numFmtId="43" fontId="14" fillId="3" borderId="6" xfId="1" applyFont="1" applyFill="1" applyBorder="1" applyAlignment="1" applyProtection="1">
      <alignment horizontal="center" vertical="center" textRotation="90" wrapText="1"/>
    </xf>
    <xf numFmtId="43" fontId="14" fillId="3" borderId="6" xfId="1" applyFont="1" applyFill="1" applyBorder="1" applyAlignment="1">
      <alignment horizontal="center" vertical="center" textRotation="90" wrapText="1"/>
    </xf>
    <xf numFmtId="1" fontId="17" fillId="3" borderId="3" xfId="0" applyNumberFormat="1" applyFont="1" applyFill="1" applyBorder="1" applyAlignment="1">
      <alignment horizontal="center" vertical="center" wrapText="1"/>
    </xf>
    <xf numFmtId="1" fontId="17" fillId="3" borderId="4" xfId="0" applyNumberFormat="1" applyFont="1" applyFill="1" applyBorder="1" applyAlignment="1">
      <alignment horizontal="center" vertical="center" wrapText="1"/>
    </xf>
    <xf numFmtId="1" fontId="17" fillId="3" borderId="5" xfId="0" applyNumberFormat="1" applyFont="1" applyFill="1" applyBorder="1" applyAlignment="1">
      <alignment horizontal="center" vertical="center" wrapText="1"/>
    </xf>
    <xf numFmtId="1" fontId="14" fillId="3" borderId="6" xfId="0" applyNumberFormat="1" applyFont="1" applyFill="1" applyBorder="1" applyAlignment="1">
      <alignment horizontal="center" vertical="center" wrapText="1"/>
    </xf>
    <xf numFmtId="1" fontId="13" fillId="3" borderId="6" xfId="0" quotePrefix="1" applyNumberFormat="1" applyFont="1" applyFill="1" applyBorder="1" applyAlignment="1" applyProtection="1">
      <alignment horizontal="center" vertical="center" wrapText="1"/>
      <protection locked="0"/>
    </xf>
    <xf numFmtId="1" fontId="13" fillId="3" borderId="6" xfId="0" applyNumberFormat="1" applyFont="1" applyFill="1" applyBorder="1" applyAlignment="1">
      <alignment horizontal="center" vertical="center" wrapText="1"/>
    </xf>
    <xf numFmtId="1" fontId="13" fillId="3" borderId="6" xfId="0" applyNumberFormat="1" applyFont="1" applyFill="1" applyBorder="1" applyAlignment="1">
      <alignment horizontal="center" vertical="center" textRotation="90" wrapText="1"/>
    </xf>
    <xf numFmtId="165" fontId="13" fillId="3" borderId="6" xfId="1" applyNumberFormat="1" applyFont="1" applyFill="1" applyBorder="1" applyAlignment="1" applyProtection="1">
      <alignment horizontal="center" vertical="center" textRotation="90" wrapText="1"/>
    </xf>
    <xf numFmtId="165" fontId="13" fillId="3" borderId="2" xfId="1" applyNumberFormat="1" applyFont="1" applyFill="1" applyBorder="1" applyAlignment="1" applyProtection="1">
      <alignment horizontal="center" vertical="center" textRotation="90" wrapText="1"/>
    </xf>
    <xf numFmtId="165" fontId="13" fillId="3" borderId="7" xfId="1" applyNumberFormat="1" applyFont="1" applyFill="1" applyBorder="1" applyAlignment="1" applyProtection="1">
      <alignment horizontal="center" vertical="center" textRotation="90" wrapText="1"/>
    </xf>
    <xf numFmtId="43" fontId="17" fillId="3" borderId="6" xfId="1" applyFont="1" applyFill="1" applyBorder="1" applyAlignment="1" applyProtection="1">
      <alignment horizontal="center" vertical="center"/>
    </xf>
    <xf numFmtId="0" fontId="33" fillId="2" borderId="0" xfId="0" applyFont="1" applyFill="1" applyAlignment="1">
      <alignment horizontal="justify" vertical="justify" wrapText="1"/>
    </xf>
    <xf numFmtId="0" fontId="31" fillId="2" borderId="0" xfId="0" applyFont="1" applyFill="1" applyAlignment="1">
      <alignment horizontal="justify" vertical="center" wrapText="1"/>
    </xf>
    <xf numFmtId="0" fontId="13" fillId="2" borderId="6" xfId="0" applyFont="1" applyFill="1" applyBorder="1" applyAlignment="1">
      <alignment horizontal="center" vertical="center"/>
    </xf>
    <xf numFmtId="0" fontId="7" fillId="2" borderId="0" xfId="4" applyFont="1" applyFill="1" applyAlignment="1">
      <alignment horizontal="center" vertical="center"/>
    </xf>
    <xf numFmtId="0" fontId="47" fillId="2" borderId="6" xfId="0" applyFont="1" applyFill="1" applyBorder="1" applyAlignment="1">
      <alignment horizontal="center" vertical="center"/>
    </xf>
    <xf numFmtId="0" fontId="39" fillId="2" borderId="0" xfId="4" applyFont="1" applyFill="1" applyAlignment="1">
      <alignment horizontal="center" vertical="center"/>
    </xf>
    <xf numFmtId="165" fontId="47" fillId="2" borderId="80" xfId="0" applyNumberFormat="1" applyFont="1" applyFill="1" applyBorder="1" applyAlignment="1">
      <alignment horizontal="center" vertical="center"/>
    </xf>
    <xf numFmtId="165" fontId="47" fillId="2" borderId="53" xfId="0" applyNumberFormat="1" applyFont="1" applyFill="1" applyBorder="1" applyAlignment="1">
      <alignment horizontal="center" vertical="center"/>
    </xf>
    <xf numFmtId="165" fontId="47" fillId="2" borderId="54" xfId="0" applyNumberFormat="1" applyFont="1" applyFill="1" applyBorder="1" applyAlignment="1">
      <alignment horizontal="center" vertical="center"/>
    </xf>
    <xf numFmtId="0" fontId="48" fillId="2" borderId="80" xfId="0" applyFont="1" applyFill="1" applyBorder="1" applyAlignment="1">
      <alignment horizontal="center" vertical="center"/>
    </xf>
    <xf numFmtId="0" fontId="48" fillId="2" borderId="53" xfId="0" applyFont="1" applyFill="1" applyBorder="1" applyAlignment="1">
      <alignment horizontal="center" vertical="center"/>
    </xf>
    <xf numFmtId="0" fontId="48" fillId="2" borderId="54" xfId="0" applyFont="1" applyFill="1" applyBorder="1" applyAlignment="1">
      <alignment horizontal="center" vertical="center"/>
    </xf>
    <xf numFmtId="165" fontId="47" fillId="2" borderId="52" xfId="0" applyNumberFormat="1" applyFont="1" applyFill="1" applyBorder="1" applyAlignment="1">
      <alignment horizontal="center"/>
    </xf>
    <xf numFmtId="165" fontId="47" fillId="2" borderId="53" xfId="0" applyNumberFormat="1" applyFont="1" applyFill="1" applyBorder="1" applyAlignment="1">
      <alignment horizontal="center"/>
    </xf>
    <xf numFmtId="165" fontId="47" fillId="2" borderId="61" xfId="0" applyNumberFormat="1" applyFont="1" applyFill="1" applyBorder="1" applyAlignment="1">
      <alignment horizontal="center"/>
    </xf>
    <xf numFmtId="165" fontId="47" fillId="2" borderId="54" xfId="0" applyNumberFormat="1" applyFont="1" applyFill="1" applyBorder="1" applyAlignment="1">
      <alignment horizontal="center"/>
    </xf>
    <xf numFmtId="0" fontId="48" fillId="2" borderId="52" xfId="0" applyFont="1" applyFill="1" applyBorder="1" applyAlignment="1">
      <alignment horizontal="center" vertical="center"/>
    </xf>
    <xf numFmtId="0" fontId="56" fillId="0" borderId="0" xfId="6" applyFont="1" applyAlignment="1">
      <alignment horizontal="center" vertical="center"/>
    </xf>
    <xf numFmtId="0" fontId="11" fillId="0" borderId="0" xfId="6" applyFont="1" applyAlignment="1">
      <alignment horizontal="center" vertical="center"/>
    </xf>
    <xf numFmtId="1" fontId="58" fillId="0" borderId="0" xfId="6" applyNumberFormat="1" applyFont="1" applyAlignment="1">
      <alignment horizontal="left" vertical="center"/>
    </xf>
    <xf numFmtId="0" fontId="38" fillId="2" borderId="0" xfId="0" applyFont="1" applyFill="1" applyAlignment="1">
      <alignment horizontal="center" vertical="center"/>
    </xf>
    <xf numFmtId="0" fontId="41" fillId="2" borderId="6" xfId="0" applyFont="1" applyFill="1" applyBorder="1" applyAlignment="1">
      <alignment horizontal="left" vertical="center"/>
    </xf>
    <xf numFmtId="0" fontId="41" fillId="2" borderId="0" xfId="0" applyFont="1" applyFill="1" applyAlignment="1">
      <alignment horizontal="center" vertical="center" wrapText="1"/>
    </xf>
    <xf numFmtId="0" fontId="89" fillId="2" borderId="0" xfId="0" applyFont="1" applyFill="1" applyAlignment="1">
      <alignment horizontal="center" vertical="center" wrapText="1"/>
    </xf>
    <xf numFmtId="0" fontId="40" fillId="2" borderId="0" xfId="0" applyFont="1" applyFill="1" applyAlignment="1">
      <alignment horizontal="center" vertical="center" wrapText="1"/>
    </xf>
    <xf numFmtId="0" fontId="87" fillId="2" borderId="3" xfId="9" applyFont="1" applyFill="1" applyBorder="1" applyAlignment="1">
      <alignment horizontal="left" vertical="center"/>
    </xf>
    <xf numFmtId="0" fontId="87" fillId="2" borderId="4" xfId="9" applyFont="1" applyFill="1" applyBorder="1" applyAlignment="1">
      <alignment horizontal="left" vertical="center"/>
    </xf>
    <xf numFmtId="0" fontId="87" fillId="2" borderId="5" xfId="9" applyFont="1" applyFill="1" applyBorder="1" applyAlignment="1">
      <alignment horizontal="left" vertical="center"/>
    </xf>
    <xf numFmtId="1" fontId="3" fillId="2" borderId="0" xfId="0" applyNumberFormat="1" applyFont="1" applyFill="1" applyAlignment="1" applyProtection="1">
      <alignment horizontal="center" vertical="center"/>
      <protection locked="0"/>
    </xf>
    <xf numFmtId="0" fontId="46" fillId="2" borderId="0" xfId="9" applyFont="1" applyFill="1" applyAlignment="1">
      <alignment horizontal="center" vertical="center"/>
    </xf>
    <xf numFmtId="0" fontId="43" fillId="2" borderId="0" xfId="9" applyFont="1" applyFill="1" applyAlignment="1">
      <alignment horizontal="center"/>
    </xf>
    <xf numFmtId="0" fontId="43" fillId="2" borderId="0" xfId="9" applyFont="1" applyFill="1" applyAlignment="1">
      <alignment horizontal="left" vertical="center"/>
    </xf>
    <xf numFmtId="0" fontId="43" fillId="2" borderId="0" xfId="9" applyFont="1" applyFill="1" applyAlignment="1">
      <alignment horizontal="right" vertical="center"/>
    </xf>
    <xf numFmtId="0" fontId="51" fillId="2" borderId="0" xfId="0" applyFont="1" applyFill="1" applyAlignment="1">
      <alignment horizontal="center" vertical="center"/>
    </xf>
    <xf numFmtId="0" fontId="42" fillId="2" borderId="0" xfId="0" applyFont="1" applyFill="1" applyAlignment="1">
      <alignment horizontal="center" vertical="center"/>
    </xf>
  </cellXfs>
  <cellStyles count="17">
    <cellStyle name="Comma" xfId="1" builtinId="3"/>
    <cellStyle name="Comma 2" xfId="3" xr:uid="{00000000-0005-0000-0000-000001000000}"/>
    <cellStyle name="Comma 2 2" xfId="5" xr:uid="{00000000-0005-0000-0000-000002000000}"/>
    <cellStyle name="Comma 2 3" xfId="16" xr:uid="{00000000-0005-0000-0000-000003000000}"/>
    <cellStyle name="Comma 3" xfId="10" xr:uid="{00000000-0005-0000-0000-000004000000}"/>
    <cellStyle name="Comma 3 2" xfId="8" xr:uid="{00000000-0005-0000-0000-000005000000}"/>
    <cellStyle name="Comma 4" xfId="11" xr:uid="{00000000-0005-0000-0000-000006000000}"/>
    <cellStyle name="Comma 5" xfId="12" xr:uid="{00000000-0005-0000-0000-000007000000}"/>
    <cellStyle name="Heading 3" xfId="15" builtinId="18"/>
    <cellStyle name="Normal" xfId="0" builtinId="0"/>
    <cellStyle name="Normal 14" xfId="13" xr:uid="{00000000-0005-0000-0000-00000A000000}"/>
    <cellStyle name="Normal 2" xfId="9" xr:uid="{00000000-0005-0000-0000-00000B000000}"/>
    <cellStyle name="Normal 2 3" xfId="4" xr:uid="{00000000-0005-0000-0000-00000C000000}"/>
    <cellStyle name="Normal 7" xfId="6" xr:uid="{00000000-0005-0000-0000-00000D000000}"/>
    <cellStyle name="Percent" xfId="2" builtinId="5"/>
    <cellStyle name="Percent 2" xfId="7" xr:uid="{00000000-0005-0000-0000-00000F000000}"/>
    <cellStyle name="Percent 3" xfId="14" xr:uid="{00000000-0005-0000-0000-000010000000}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2133600</xdr:colOff>
      <xdr:row>31</xdr:row>
      <xdr:rowOff>161924</xdr:rowOff>
    </xdr:from>
    <xdr:to>
      <xdr:col>4</xdr:col>
      <xdr:colOff>392126</xdr:colOff>
      <xdr:row>36</xdr:row>
      <xdr:rowOff>114299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81250" y="8258174"/>
          <a:ext cx="1573226" cy="84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Checked</a:t>
          </a:r>
          <a:r>
            <a:rPr lang="en-GB" sz="1100" b="1"/>
            <a:t> by</a:t>
          </a:r>
        </a:p>
        <a:p>
          <a:pPr algn="ctr"/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 &amp; Accounts</a:t>
          </a:r>
          <a:endParaRPr lang="en-GB" sz="1100"/>
        </a:p>
      </xdr:txBody>
    </xdr:sp>
    <xdr:clientData/>
  </xdr:twoCellAnchor>
  <xdr:twoCellAnchor>
    <xdr:from>
      <xdr:col>5</xdr:col>
      <xdr:colOff>312957</xdr:colOff>
      <xdr:row>32</xdr:row>
      <xdr:rowOff>0</xdr:rowOff>
    </xdr:from>
    <xdr:to>
      <xdr:col>8</xdr:col>
      <xdr:colOff>503693</xdr:colOff>
      <xdr:row>36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18257" y="8258175"/>
          <a:ext cx="1867136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Checked By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 &amp; Accounts</a:t>
          </a:r>
          <a:endParaRPr lang="en-GB">
            <a:effectLst/>
          </a:endParaRPr>
        </a:p>
      </xdr:txBody>
    </xdr:sp>
    <xdr:clientData/>
  </xdr:twoCellAnchor>
  <xdr:twoCellAnchor>
    <xdr:from>
      <xdr:col>12</xdr:col>
      <xdr:colOff>414280</xdr:colOff>
      <xdr:row>32</xdr:row>
      <xdr:rowOff>0</xdr:rowOff>
    </xdr:from>
    <xdr:to>
      <xdr:col>15</xdr:col>
      <xdr:colOff>361951</xdr:colOff>
      <xdr:row>36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853430" y="8258175"/>
          <a:ext cx="1728846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Operation</a:t>
          </a:r>
        </a:p>
      </xdr:txBody>
    </xdr:sp>
    <xdr:clientData/>
  </xdr:twoCellAnchor>
  <xdr:twoCellAnchor>
    <xdr:from>
      <xdr:col>16</xdr:col>
      <xdr:colOff>127902</xdr:colOff>
      <xdr:row>31</xdr:row>
      <xdr:rowOff>161924</xdr:rowOff>
    </xdr:from>
    <xdr:to>
      <xdr:col>20</xdr:col>
      <xdr:colOff>141815</xdr:colOff>
      <xdr:row>37</xdr:row>
      <xdr:rowOff>104774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843527" y="8258174"/>
          <a:ext cx="1766513" cy="1000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Approved By</a:t>
          </a:r>
        </a:p>
        <a:p>
          <a:pPr algn="ctr"/>
          <a:r>
            <a:rPr lang="en-GB" sz="1100" b="0"/>
            <a:t>Finance Director</a:t>
          </a:r>
        </a:p>
      </xdr:txBody>
    </xdr:sp>
    <xdr:clientData/>
  </xdr:twoCellAnchor>
  <xdr:twoCellAnchor>
    <xdr:from>
      <xdr:col>8</xdr:col>
      <xdr:colOff>690505</xdr:colOff>
      <xdr:row>31</xdr:row>
      <xdr:rowOff>161924</xdr:rowOff>
    </xdr:from>
    <xdr:to>
      <xdr:col>12</xdr:col>
      <xdr:colOff>114301</xdr:colOff>
      <xdr:row>36</xdr:row>
      <xdr:rowOff>57149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672205" y="8258174"/>
          <a:ext cx="1881246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Finance &amp; Accounts</a:t>
          </a:r>
        </a:p>
      </xdr:txBody>
    </xdr:sp>
    <xdr:clientData/>
  </xdr:twoCellAnchor>
  <xdr:twoCellAnchor>
    <xdr:from>
      <xdr:col>0</xdr:col>
      <xdr:colOff>228600</xdr:colOff>
      <xdr:row>32</xdr:row>
      <xdr:rowOff>0</xdr:rowOff>
    </xdr:from>
    <xdr:to>
      <xdr:col>1</xdr:col>
      <xdr:colOff>1323975</xdr:colOff>
      <xdr:row>36</xdr:row>
      <xdr:rowOff>76200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600" y="8258175"/>
          <a:ext cx="1343025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784409</xdr:colOff>
      <xdr:row>22</xdr:row>
      <xdr:rowOff>4476</xdr:rowOff>
    </xdr:from>
    <xdr:to>
      <xdr:col>5</xdr:col>
      <xdr:colOff>369794</xdr:colOff>
      <xdr:row>25</xdr:row>
      <xdr:rowOff>234597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3406585" y="8610594"/>
          <a:ext cx="1759327" cy="913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Checked</a:t>
          </a:r>
          <a:r>
            <a:rPr lang="en-GB" sz="1100" b="1"/>
            <a:t> by</a:t>
          </a:r>
          <a:r>
            <a:rPr lang="en-GB" sz="1100" b="1" baseline="0"/>
            <a:t> </a:t>
          </a:r>
          <a:br>
            <a:rPr lang="en-GB" sz="1100" b="1" baseline="0"/>
          </a:br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7</xdr:col>
      <xdr:colOff>320971</xdr:colOff>
      <xdr:row>22</xdr:row>
      <xdr:rowOff>4476</xdr:rowOff>
    </xdr:from>
    <xdr:to>
      <xdr:col>11</xdr:col>
      <xdr:colOff>156889</xdr:colOff>
      <xdr:row>26</xdr:row>
      <xdr:rowOff>64268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6192853" y="8610594"/>
          <a:ext cx="1808154" cy="989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Checked By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18</xdr:col>
      <xdr:colOff>235319</xdr:colOff>
      <xdr:row>22</xdr:row>
      <xdr:rowOff>15683</xdr:rowOff>
    </xdr:from>
    <xdr:to>
      <xdr:col>21</xdr:col>
      <xdr:colOff>442755</xdr:colOff>
      <xdr:row>26</xdr:row>
      <xdr:rowOff>102448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12472143" y="8621801"/>
          <a:ext cx="1765053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Operation</a:t>
          </a:r>
        </a:p>
      </xdr:txBody>
    </xdr:sp>
    <xdr:clientData/>
  </xdr:twoCellAnchor>
  <xdr:twoCellAnchor>
    <xdr:from>
      <xdr:col>23</xdr:col>
      <xdr:colOff>441816</xdr:colOff>
      <xdr:row>22</xdr:row>
      <xdr:rowOff>394</xdr:rowOff>
    </xdr:from>
    <xdr:to>
      <xdr:col>28</xdr:col>
      <xdr:colOff>343367</xdr:colOff>
      <xdr:row>25</xdr:row>
      <xdr:rowOff>125739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15312022" y="8606512"/>
          <a:ext cx="1840169" cy="8089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Approved By</a:t>
          </a:r>
        </a:p>
        <a:p>
          <a:pPr algn="ctr"/>
          <a:r>
            <a:rPr lang="en-GB" sz="1100" b="0"/>
            <a:t>Finance Director</a:t>
          </a:r>
        </a:p>
      </xdr:txBody>
    </xdr:sp>
    <xdr:clientData/>
  </xdr:twoCellAnchor>
  <xdr:twoCellAnchor>
    <xdr:from>
      <xdr:col>12</xdr:col>
      <xdr:colOff>560298</xdr:colOff>
      <xdr:row>22</xdr:row>
      <xdr:rowOff>11202</xdr:rowOff>
    </xdr:from>
    <xdr:to>
      <xdr:col>16</xdr:col>
      <xdr:colOff>212909</xdr:colOff>
      <xdr:row>26</xdr:row>
      <xdr:rowOff>97967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/>
      </xdr:nvSpPr>
      <xdr:spPr>
        <a:xfrm>
          <a:off x="9132798" y="8617320"/>
          <a:ext cx="2017052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Finance</a:t>
          </a:r>
          <a:r>
            <a:rPr lang="en-GB" sz="1100" b="0" baseline="0"/>
            <a:t> &amp; Accounts</a:t>
          </a:r>
          <a:endParaRPr lang="en-GB" sz="1100" b="0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2</xdr:col>
      <xdr:colOff>681878</xdr:colOff>
      <xdr:row>25</xdr:row>
      <xdr:rowOff>126067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/>
      </xdr:nvSpPr>
      <xdr:spPr>
        <a:xfrm>
          <a:off x="280147" y="8606118"/>
          <a:ext cx="1578349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168093</xdr:colOff>
      <xdr:row>64</xdr:row>
      <xdr:rowOff>11203</xdr:rowOff>
    </xdr:from>
    <xdr:to>
      <xdr:col>5</xdr:col>
      <xdr:colOff>403417</xdr:colOff>
      <xdr:row>67</xdr:row>
      <xdr:rowOff>122536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2790269" y="13570321"/>
          <a:ext cx="2140324" cy="8509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Checked By</a:t>
          </a:r>
          <a:endParaRPr lang="en-GB">
            <a:effectLst/>
          </a:endParaRPr>
        </a:p>
        <a:p>
          <a:pPr algn="ctr"/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7</xdr:col>
      <xdr:colOff>354592</xdr:colOff>
      <xdr:row>64</xdr:row>
      <xdr:rowOff>11203</xdr:rowOff>
    </xdr:from>
    <xdr:to>
      <xdr:col>11</xdr:col>
      <xdr:colOff>156893</xdr:colOff>
      <xdr:row>67</xdr:row>
      <xdr:rowOff>198737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5879092" y="19408585"/>
          <a:ext cx="1561625" cy="893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Checked By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18</xdr:col>
      <xdr:colOff>175272</xdr:colOff>
      <xdr:row>64</xdr:row>
      <xdr:rowOff>11203</xdr:rowOff>
    </xdr:from>
    <xdr:to>
      <xdr:col>21</xdr:col>
      <xdr:colOff>481852</xdr:colOff>
      <xdr:row>67</xdr:row>
      <xdr:rowOff>236917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1739743" y="19408585"/>
          <a:ext cx="1864197" cy="931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Operation</a:t>
          </a:r>
        </a:p>
      </xdr:txBody>
    </xdr:sp>
    <xdr:clientData/>
  </xdr:twoCellAnchor>
  <xdr:twoCellAnchor>
    <xdr:from>
      <xdr:col>23</xdr:col>
      <xdr:colOff>441812</xdr:colOff>
      <xdr:row>64</xdr:row>
      <xdr:rowOff>11203</xdr:rowOff>
    </xdr:from>
    <xdr:to>
      <xdr:col>28</xdr:col>
      <xdr:colOff>287333</xdr:colOff>
      <xdr:row>67</xdr:row>
      <xdr:rowOff>13678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14785341" y="19408585"/>
          <a:ext cx="1851374" cy="7084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Approved By</a:t>
          </a:r>
        </a:p>
        <a:p>
          <a:pPr algn="ctr"/>
          <a:r>
            <a:rPr lang="en-GB" sz="1100" b="0"/>
            <a:t>Finance Director</a:t>
          </a:r>
        </a:p>
      </xdr:txBody>
    </xdr:sp>
    <xdr:clientData/>
  </xdr:twoCellAnchor>
  <xdr:twoCellAnchor>
    <xdr:from>
      <xdr:col>12</xdr:col>
      <xdr:colOff>571507</xdr:colOff>
      <xdr:row>64</xdr:row>
      <xdr:rowOff>11203</xdr:rowOff>
    </xdr:from>
    <xdr:to>
      <xdr:col>16</xdr:col>
      <xdr:colOff>257738</xdr:colOff>
      <xdr:row>67</xdr:row>
      <xdr:rowOff>232436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8527683" y="13570321"/>
          <a:ext cx="1994643" cy="960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Finance</a:t>
          </a:r>
          <a:r>
            <a:rPr lang="en-GB" sz="1100" b="0" baseline="0"/>
            <a:t> &amp; Accounts</a:t>
          </a:r>
          <a:endParaRPr lang="en-GB" sz="1100" b="0"/>
        </a:p>
      </xdr:txBody>
    </xdr:sp>
    <xdr:clientData/>
  </xdr:twoCellAnchor>
  <xdr:twoCellAnchor>
    <xdr:from>
      <xdr:col>1</xdr:col>
      <xdr:colOff>67237</xdr:colOff>
      <xdr:row>64</xdr:row>
      <xdr:rowOff>11203</xdr:rowOff>
    </xdr:from>
    <xdr:to>
      <xdr:col>2</xdr:col>
      <xdr:colOff>749115</xdr:colOff>
      <xdr:row>67</xdr:row>
      <xdr:rowOff>70032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347384" y="13570321"/>
          <a:ext cx="1578349" cy="7984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784409</xdr:colOff>
      <xdr:row>43</xdr:row>
      <xdr:rowOff>4476</xdr:rowOff>
    </xdr:from>
    <xdr:to>
      <xdr:col>5</xdr:col>
      <xdr:colOff>369794</xdr:colOff>
      <xdr:row>46</xdr:row>
      <xdr:rowOff>234597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403784" y="7081551"/>
          <a:ext cx="1766610" cy="9159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Checked</a:t>
          </a:r>
          <a:r>
            <a:rPr lang="en-GB" sz="1100" b="1"/>
            <a:t> by</a:t>
          </a:r>
          <a:r>
            <a:rPr lang="en-GB" sz="1100" b="1" baseline="0"/>
            <a:t> </a:t>
          </a:r>
          <a:br>
            <a:rPr lang="en-GB" sz="1100" b="1" baseline="0"/>
          </a:br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7</xdr:col>
      <xdr:colOff>320971</xdr:colOff>
      <xdr:row>43</xdr:row>
      <xdr:rowOff>4476</xdr:rowOff>
    </xdr:from>
    <xdr:to>
      <xdr:col>11</xdr:col>
      <xdr:colOff>156889</xdr:colOff>
      <xdr:row>47</xdr:row>
      <xdr:rowOff>64268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6197896" y="7081551"/>
          <a:ext cx="1807593" cy="993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Checked By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18</xdr:col>
      <xdr:colOff>235319</xdr:colOff>
      <xdr:row>43</xdr:row>
      <xdr:rowOff>15683</xdr:rowOff>
    </xdr:from>
    <xdr:to>
      <xdr:col>21</xdr:col>
      <xdr:colOff>442755</xdr:colOff>
      <xdr:row>47</xdr:row>
      <xdr:rowOff>102448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2474944" y="7092758"/>
          <a:ext cx="1760011" cy="10202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Operation</a:t>
          </a:r>
        </a:p>
      </xdr:txBody>
    </xdr:sp>
    <xdr:clientData/>
  </xdr:twoCellAnchor>
  <xdr:twoCellAnchor>
    <xdr:from>
      <xdr:col>23</xdr:col>
      <xdr:colOff>441816</xdr:colOff>
      <xdr:row>43</xdr:row>
      <xdr:rowOff>394</xdr:rowOff>
    </xdr:from>
    <xdr:to>
      <xdr:col>28</xdr:col>
      <xdr:colOff>343367</xdr:colOff>
      <xdr:row>46</xdr:row>
      <xdr:rowOff>125739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5310341" y="7077469"/>
          <a:ext cx="1873226" cy="8111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Approved By</a:t>
          </a:r>
        </a:p>
        <a:p>
          <a:pPr algn="ctr"/>
          <a:r>
            <a:rPr lang="en-GB" sz="1100" b="0"/>
            <a:t>Finance Director</a:t>
          </a:r>
        </a:p>
      </xdr:txBody>
    </xdr:sp>
    <xdr:clientData/>
  </xdr:twoCellAnchor>
  <xdr:twoCellAnchor>
    <xdr:from>
      <xdr:col>12</xdr:col>
      <xdr:colOff>560298</xdr:colOff>
      <xdr:row>43</xdr:row>
      <xdr:rowOff>11202</xdr:rowOff>
    </xdr:from>
    <xdr:to>
      <xdr:col>16</xdr:col>
      <xdr:colOff>212909</xdr:colOff>
      <xdr:row>47</xdr:row>
      <xdr:rowOff>97967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9132798" y="7088277"/>
          <a:ext cx="2024336" cy="10202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Finance</a:t>
          </a:r>
          <a:r>
            <a:rPr lang="en-GB" sz="1100" b="0" baseline="0"/>
            <a:t> &amp; Accounts</a:t>
          </a:r>
          <a:endParaRPr lang="en-GB" sz="1100" b="0"/>
        </a:p>
      </xdr:txBody>
    </xdr: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681878</xdr:colOff>
      <xdr:row>46</xdr:row>
      <xdr:rowOff>126067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276225" y="7077075"/>
          <a:ext cx="1577228" cy="811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414616</xdr:colOff>
      <xdr:row>21</xdr:row>
      <xdr:rowOff>71710</xdr:rowOff>
    </xdr:from>
    <xdr:to>
      <xdr:col>7</xdr:col>
      <xdr:colOff>112061</xdr:colOff>
      <xdr:row>25</xdr:row>
      <xdr:rowOff>55300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4146175" y="6515092"/>
          <a:ext cx="1759327" cy="913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Checked</a:t>
          </a:r>
          <a:r>
            <a:rPr lang="en-GB" sz="1100" b="1"/>
            <a:t> by</a:t>
          </a:r>
          <a:r>
            <a:rPr lang="en-GB" sz="1100" b="1" baseline="0"/>
            <a:t> </a:t>
          </a:r>
          <a:br>
            <a:rPr lang="en-GB" sz="1100" b="1" baseline="0"/>
          </a:br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9</xdr:col>
      <xdr:colOff>388208</xdr:colOff>
      <xdr:row>21</xdr:row>
      <xdr:rowOff>71710</xdr:rowOff>
    </xdr:from>
    <xdr:to>
      <xdr:col>12</xdr:col>
      <xdr:colOff>246538</xdr:colOff>
      <xdr:row>25</xdr:row>
      <xdr:rowOff>131501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6932443" y="6515092"/>
          <a:ext cx="1808154" cy="989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Checked By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20</xdr:col>
      <xdr:colOff>33615</xdr:colOff>
      <xdr:row>21</xdr:row>
      <xdr:rowOff>82917</xdr:rowOff>
    </xdr:from>
    <xdr:to>
      <xdr:col>22</xdr:col>
      <xdr:colOff>509992</xdr:colOff>
      <xdr:row>25</xdr:row>
      <xdr:rowOff>169681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13211733" y="6526299"/>
          <a:ext cx="1765053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Operation</a:t>
          </a:r>
        </a:p>
      </xdr:txBody>
    </xdr:sp>
    <xdr:clientData/>
  </xdr:twoCellAnchor>
  <xdr:twoCellAnchor>
    <xdr:from>
      <xdr:col>25</xdr:col>
      <xdr:colOff>139259</xdr:colOff>
      <xdr:row>21</xdr:row>
      <xdr:rowOff>67628</xdr:rowOff>
    </xdr:from>
    <xdr:to>
      <xdr:col>28</xdr:col>
      <xdr:colOff>242516</xdr:colOff>
      <xdr:row>24</xdr:row>
      <xdr:rowOff>192972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16051612" y="6511010"/>
          <a:ext cx="1840169" cy="8089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Approved By</a:t>
          </a:r>
        </a:p>
        <a:p>
          <a:pPr algn="ctr"/>
          <a:r>
            <a:rPr lang="en-GB" sz="1100" b="0"/>
            <a:t>Finance Director</a:t>
          </a:r>
        </a:p>
      </xdr:txBody>
    </xdr:sp>
    <xdr:clientData/>
  </xdr:twoCellAnchor>
  <xdr:twoCellAnchor>
    <xdr:from>
      <xdr:col>14</xdr:col>
      <xdr:colOff>78447</xdr:colOff>
      <xdr:row>21</xdr:row>
      <xdr:rowOff>78436</xdr:rowOff>
    </xdr:from>
    <xdr:to>
      <xdr:col>17</xdr:col>
      <xdr:colOff>380999</xdr:colOff>
      <xdr:row>25</xdr:row>
      <xdr:rowOff>165200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9872388" y="6521818"/>
          <a:ext cx="2017052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Finance</a:t>
          </a:r>
          <a:r>
            <a:rPr lang="en-GB" sz="1100" b="0" baseline="0"/>
            <a:t> &amp; Accounts</a:t>
          </a:r>
          <a:endParaRPr lang="en-GB" sz="1100" b="0"/>
        </a:p>
      </xdr:txBody>
    </xdr:sp>
    <xdr:clientData/>
  </xdr:twoCellAnchor>
  <xdr:twoCellAnchor>
    <xdr:from>
      <xdr:col>1</xdr:col>
      <xdr:colOff>739590</xdr:colOff>
      <xdr:row>21</xdr:row>
      <xdr:rowOff>67234</xdr:rowOff>
    </xdr:from>
    <xdr:to>
      <xdr:col>2</xdr:col>
      <xdr:colOff>1421468</xdr:colOff>
      <xdr:row>24</xdr:row>
      <xdr:rowOff>193300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1019737" y="6510616"/>
          <a:ext cx="1578349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171450</xdr:colOff>
      <xdr:row>67</xdr:row>
      <xdr:rowOff>66675</xdr:rowOff>
    </xdr:from>
    <xdr:ext cx="900952" cy="4000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171450" y="10467975"/>
          <a:ext cx="900952" cy="400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GB" sz="1100" b="1"/>
            <a:t>Prepared</a:t>
          </a:r>
          <a:r>
            <a:rPr lang="en-GB" sz="1100" b="1" baseline="0"/>
            <a:t> By</a:t>
          </a:r>
          <a:endParaRPr lang="en-GB" sz="1100" b="1"/>
        </a:p>
      </xdr:txBody>
    </xdr:sp>
    <xdr:clientData/>
  </xdr:oneCellAnchor>
  <xdr:oneCellAnchor>
    <xdr:from>
      <xdr:col>4</xdr:col>
      <xdr:colOff>171450</xdr:colOff>
      <xdr:row>67</xdr:row>
      <xdr:rowOff>76200</xdr:rowOff>
    </xdr:from>
    <xdr:ext cx="857351" cy="3238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/>
      </xdr:nvSpPr>
      <xdr:spPr>
        <a:xfrm>
          <a:off x="1752600" y="10477500"/>
          <a:ext cx="857351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GB" sz="1100" b="1" baseline="0"/>
            <a:t>Checked By</a:t>
          </a:r>
          <a:endParaRPr lang="en-GB" sz="1100" b="1"/>
        </a:p>
      </xdr:txBody>
    </xdr:sp>
    <xdr:clientData/>
  </xdr:oneCellAnchor>
  <xdr:oneCellAnchor>
    <xdr:from>
      <xdr:col>7</xdr:col>
      <xdr:colOff>228600</xdr:colOff>
      <xdr:row>67</xdr:row>
      <xdr:rowOff>76200</xdr:rowOff>
    </xdr:from>
    <xdr:ext cx="1245213" cy="3714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/>
      </xdr:nvSpPr>
      <xdr:spPr>
        <a:xfrm>
          <a:off x="3448050" y="10477500"/>
          <a:ext cx="1245213" cy="371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GB" sz="1100" b="1" baseline="0"/>
            <a:t>Recommended By</a:t>
          </a:r>
          <a:endParaRPr lang="en-GB" sz="1100" b="1"/>
        </a:p>
      </xdr:txBody>
    </xdr:sp>
    <xdr:clientData/>
  </xdr:oneCellAnchor>
  <xdr:oneCellAnchor>
    <xdr:from>
      <xdr:col>10</xdr:col>
      <xdr:colOff>447675</xdr:colOff>
      <xdr:row>67</xdr:row>
      <xdr:rowOff>66675</xdr:rowOff>
    </xdr:from>
    <xdr:ext cx="938847" cy="36195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/>
      </xdr:nvSpPr>
      <xdr:spPr>
        <a:xfrm>
          <a:off x="5781675" y="10467975"/>
          <a:ext cx="938847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GB" sz="1100" b="1" baseline="0"/>
            <a:t>Approved By</a:t>
          </a:r>
          <a:endParaRPr lang="en-GB" sz="1100" b="1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1457325</xdr:colOff>
      <xdr:row>44</xdr:row>
      <xdr:rowOff>0</xdr:rowOff>
    </xdr:from>
    <xdr:to>
      <xdr:col>4</xdr:col>
      <xdr:colOff>268301</xdr:colOff>
      <xdr:row>48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2752725" y="10429875"/>
          <a:ext cx="1573226" cy="84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Checked</a:t>
          </a:r>
          <a:r>
            <a:rPr lang="en-GB" sz="1100" b="1"/>
            <a:t> by</a:t>
          </a:r>
        </a:p>
        <a:p>
          <a:pPr algn="ctr"/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 &amp; Accounts</a:t>
          </a:r>
          <a:endParaRPr lang="en-GB" sz="1100"/>
        </a:p>
      </xdr:txBody>
    </xdr:sp>
    <xdr:clientData/>
  </xdr:twoCellAnchor>
  <xdr:twoCellAnchor>
    <xdr:from>
      <xdr:col>6</xdr:col>
      <xdr:colOff>236757</xdr:colOff>
      <xdr:row>44</xdr:row>
      <xdr:rowOff>1</xdr:rowOff>
    </xdr:from>
    <xdr:to>
      <xdr:col>9</xdr:col>
      <xdr:colOff>94118</xdr:colOff>
      <xdr:row>48</xdr:row>
      <xdr:rowOff>38101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/>
      </xdr:nvSpPr>
      <xdr:spPr>
        <a:xfrm>
          <a:off x="5504082" y="10429876"/>
          <a:ext cx="1867136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Verified By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 &amp; Accounts</a:t>
          </a:r>
          <a:endParaRPr lang="en-GB">
            <a:effectLst/>
          </a:endParaRPr>
        </a:p>
      </xdr:txBody>
    </xdr:sp>
    <xdr:clientData/>
  </xdr:twoCellAnchor>
  <xdr:twoCellAnchor>
    <xdr:from>
      <xdr:col>0</xdr:col>
      <xdr:colOff>0</xdr:colOff>
      <xdr:row>44</xdr:row>
      <xdr:rowOff>1</xdr:rowOff>
    </xdr:from>
    <xdr:to>
      <xdr:col>2</xdr:col>
      <xdr:colOff>47625</xdr:colOff>
      <xdr:row>48</xdr:row>
      <xdr:rowOff>28576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/>
      </xdr:nvSpPr>
      <xdr:spPr>
        <a:xfrm>
          <a:off x="0" y="10429876"/>
          <a:ext cx="1343025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179302</xdr:colOff>
      <xdr:row>388</xdr:row>
      <xdr:rowOff>127742</xdr:rowOff>
    </xdr:from>
    <xdr:to>
      <xdr:col>3</xdr:col>
      <xdr:colOff>874067</xdr:colOff>
      <xdr:row>392</xdr:row>
      <xdr:rowOff>111333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591243" y="121487448"/>
          <a:ext cx="2140324" cy="913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Prepared by</a:t>
          </a:r>
          <a:r>
            <a:rPr lang="en-GB" sz="1100" b="1" baseline="0"/>
            <a:t> </a:t>
          </a:r>
          <a:br>
            <a:rPr lang="en-GB" sz="1100" b="1" baseline="0"/>
          </a:br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4</xdr:col>
      <xdr:colOff>377002</xdr:colOff>
      <xdr:row>388</xdr:row>
      <xdr:rowOff>127742</xdr:rowOff>
    </xdr:from>
    <xdr:to>
      <xdr:col>7</xdr:col>
      <xdr:colOff>324980</xdr:colOff>
      <xdr:row>392</xdr:row>
      <xdr:rowOff>187534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343884" y="121487448"/>
          <a:ext cx="1852978" cy="989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Checked By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17</xdr:col>
      <xdr:colOff>141655</xdr:colOff>
      <xdr:row>388</xdr:row>
      <xdr:rowOff>138949</xdr:rowOff>
    </xdr:from>
    <xdr:to>
      <xdr:col>20</xdr:col>
      <xdr:colOff>420346</xdr:colOff>
      <xdr:row>393</xdr:row>
      <xdr:rowOff>12802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1235479" y="82659067"/>
          <a:ext cx="1948367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Operation</a:t>
          </a:r>
        </a:p>
      </xdr:txBody>
    </xdr:sp>
    <xdr:clientData/>
  </xdr:twoCellAnchor>
  <xdr:twoCellAnchor>
    <xdr:from>
      <xdr:col>23</xdr:col>
      <xdr:colOff>161671</xdr:colOff>
      <xdr:row>388</xdr:row>
      <xdr:rowOff>123660</xdr:rowOff>
    </xdr:from>
    <xdr:to>
      <xdr:col>27</xdr:col>
      <xdr:colOff>444223</xdr:colOff>
      <xdr:row>392</xdr:row>
      <xdr:rowOff>2475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852583" y="110826572"/>
          <a:ext cx="1929816" cy="8089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Approved By</a:t>
          </a:r>
        </a:p>
        <a:p>
          <a:pPr algn="ctr"/>
          <a:r>
            <a:rPr lang="en-GB" sz="1100" b="0"/>
            <a:t>Finance Director</a:t>
          </a:r>
        </a:p>
      </xdr:txBody>
    </xdr:sp>
    <xdr:clientData/>
  </xdr:twoCellAnchor>
  <xdr:twoCellAnchor>
    <xdr:from>
      <xdr:col>10</xdr:col>
      <xdr:colOff>89652</xdr:colOff>
      <xdr:row>388</xdr:row>
      <xdr:rowOff>134468</xdr:rowOff>
    </xdr:from>
    <xdr:to>
      <xdr:col>14</xdr:col>
      <xdr:colOff>516721</xdr:colOff>
      <xdr:row>393</xdr:row>
      <xdr:rowOff>8321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958858" y="82654586"/>
          <a:ext cx="2937187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Finance</a:t>
          </a:r>
          <a:r>
            <a:rPr lang="en-GB" sz="1100" b="0" baseline="0"/>
            <a:t> &amp; Accounts</a:t>
          </a:r>
          <a:endParaRPr lang="en-GB" sz="1100" b="0"/>
        </a:p>
      </xdr:txBody>
    </xdr:sp>
    <xdr:clientData/>
  </xdr:twoCellAnchor>
  <xdr:twoCellAnchor>
    <xdr:from>
      <xdr:col>0</xdr:col>
      <xdr:colOff>0</xdr:colOff>
      <xdr:row>388</xdr:row>
      <xdr:rowOff>123264</xdr:rowOff>
    </xdr:from>
    <xdr:to>
      <xdr:col>1</xdr:col>
      <xdr:colOff>827554</xdr:colOff>
      <xdr:row>391</xdr:row>
      <xdr:rowOff>211231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121482970"/>
          <a:ext cx="1343025" cy="771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194512</xdr:colOff>
      <xdr:row>26</xdr:row>
      <xdr:rowOff>149675</xdr:rowOff>
    </xdr:from>
    <xdr:to>
      <xdr:col>5</xdr:col>
      <xdr:colOff>649944</xdr:colOff>
      <xdr:row>30</xdr:row>
      <xdr:rowOff>110855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715836" y="7691234"/>
          <a:ext cx="1744108" cy="913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Prepared by</a:t>
          </a:r>
          <a:r>
            <a:rPr lang="en-GB" sz="1100" b="1" baseline="0"/>
            <a:t> </a:t>
          </a:r>
          <a:br>
            <a:rPr lang="en-GB" sz="1100" b="1" baseline="0"/>
          </a:br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8</xdr:col>
      <xdr:colOff>67236</xdr:colOff>
      <xdr:row>26</xdr:row>
      <xdr:rowOff>149675</xdr:rowOff>
    </xdr:from>
    <xdr:to>
      <xdr:col>11</xdr:col>
      <xdr:colOff>67242</xdr:colOff>
      <xdr:row>30</xdr:row>
      <xdr:rowOff>187055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625354" y="7691234"/>
          <a:ext cx="1568829" cy="989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Checked By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19</xdr:col>
      <xdr:colOff>414627</xdr:colOff>
      <xdr:row>26</xdr:row>
      <xdr:rowOff>138470</xdr:rowOff>
    </xdr:from>
    <xdr:to>
      <xdr:col>22</xdr:col>
      <xdr:colOff>715722</xdr:colOff>
      <xdr:row>30</xdr:row>
      <xdr:rowOff>202823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923068" y="7680029"/>
          <a:ext cx="1858713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Operation</a:t>
          </a:r>
        </a:p>
      </xdr:txBody>
    </xdr:sp>
    <xdr:clientData/>
  </xdr:twoCellAnchor>
  <xdr:twoCellAnchor>
    <xdr:from>
      <xdr:col>25</xdr:col>
      <xdr:colOff>244126</xdr:colOff>
      <xdr:row>26</xdr:row>
      <xdr:rowOff>145593</xdr:rowOff>
    </xdr:from>
    <xdr:to>
      <xdr:col>29</xdr:col>
      <xdr:colOff>123266</xdr:colOff>
      <xdr:row>30</xdr:row>
      <xdr:rowOff>1997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198376" y="7698918"/>
          <a:ext cx="1898440" cy="8089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Approved By</a:t>
          </a:r>
        </a:p>
        <a:p>
          <a:pPr algn="ctr"/>
          <a:r>
            <a:rPr lang="en-GB" sz="1100" b="0"/>
            <a:t>Finance Director</a:t>
          </a:r>
        </a:p>
      </xdr:txBody>
    </xdr:sp>
    <xdr:clientData/>
  </xdr:twoCellAnchor>
  <xdr:twoCellAnchor>
    <xdr:from>
      <xdr:col>13</xdr:col>
      <xdr:colOff>26331</xdr:colOff>
      <xdr:row>26</xdr:row>
      <xdr:rowOff>122783</xdr:rowOff>
    </xdr:from>
    <xdr:to>
      <xdr:col>17</xdr:col>
      <xdr:colOff>190504</xdr:colOff>
      <xdr:row>30</xdr:row>
      <xdr:rowOff>187136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419537" y="7664342"/>
          <a:ext cx="1979526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Finance</a:t>
          </a:r>
          <a:r>
            <a:rPr lang="en-GB" sz="1100" b="0" baseline="0"/>
            <a:t> &amp; Accounts</a:t>
          </a:r>
          <a:endParaRPr lang="en-GB" sz="1100" b="0"/>
        </a:p>
      </xdr:txBody>
    </xdr:sp>
    <xdr:clientData/>
  </xdr:twoCellAnchor>
  <xdr:twoCellAnchor>
    <xdr:from>
      <xdr:col>1</xdr:col>
      <xdr:colOff>22412</xdr:colOff>
      <xdr:row>26</xdr:row>
      <xdr:rowOff>123263</xdr:rowOff>
    </xdr:from>
    <xdr:to>
      <xdr:col>2</xdr:col>
      <xdr:colOff>704290</xdr:colOff>
      <xdr:row>29</xdr:row>
      <xdr:rowOff>193300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302559" y="7664822"/>
          <a:ext cx="1578349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201699</xdr:colOff>
      <xdr:row>23</xdr:row>
      <xdr:rowOff>4476</xdr:rowOff>
    </xdr:from>
    <xdr:to>
      <xdr:col>5</xdr:col>
      <xdr:colOff>672350</xdr:colOff>
      <xdr:row>26</xdr:row>
      <xdr:rowOff>212184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716299" y="6852951"/>
          <a:ext cx="1756526" cy="9125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Checked</a:t>
          </a:r>
          <a:r>
            <a:rPr lang="en-GB" sz="1100" b="1"/>
            <a:t> by</a:t>
          </a:r>
          <a:r>
            <a:rPr lang="en-GB" sz="1100" b="1" baseline="0"/>
            <a:t> </a:t>
          </a:r>
          <a:br>
            <a:rPr lang="en-GB" sz="1100" b="1" baseline="0"/>
          </a:br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8</xdr:col>
      <xdr:colOff>309761</xdr:colOff>
      <xdr:row>23</xdr:row>
      <xdr:rowOff>4476</xdr:rowOff>
    </xdr:from>
    <xdr:to>
      <xdr:col>12</xdr:col>
      <xdr:colOff>448239</xdr:colOff>
      <xdr:row>27</xdr:row>
      <xdr:rowOff>41856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862836" y="6852951"/>
          <a:ext cx="2291128" cy="989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Checked By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20</xdr:col>
      <xdr:colOff>224107</xdr:colOff>
      <xdr:row>23</xdr:row>
      <xdr:rowOff>15683</xdr:rowOff>
    </xdr:from>
    <xdr:to>
      <xdr:col>23</xdr:col>
      <xdr:colOff>39337</xdr:colOff>
      <xdr:row>27</xdr:row>
      <xdr:rowOff>80036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2206557" y="6864158"/>
          <a:ext cx="1758330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Operation</a:t>
          </a:r>
        </a:p>
      </xdr:txBody>
    </xdr:sp>
    <xdr:clientData/>
  </xdr:twoCellAnchor>
  <xdr:twoCellAnchor>
    <xdr:from>
      <xdr:col>25</xdr:col>
      <xdr:colOff>235318</xdr:colOff>
      <xdr:row>23</xdr:row>
      <xdr:rowOff>394</xdr:rowOff>
    </xdr:from>
    <xdr:to>
      <xdr:col>29</xdr:col>
      <xdr:colOff>63213</xdr:colOff>
      <xdr:row>26</xdr:row>
      <xdr:rowOff>103326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5189568" y="6848869"/>
          <a:ext cx="1847195" cy="807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Approved By</a:t>
          </a:r>
        </a:p>
        <a:p>
          <a:pPr algn="ctr"/>
          <a:r>
            <a:rPr lang="en-GB" sz="1100" b="0"/>
            <a:t>Finance Director</a:t>
          </a:r>
        </a:p>
      </xdr:txBody>
    </xdr:sp>
    <xdr:clientData/>
  </xdr:twoCellAnchor>
  <xdr:twoCellAnchor>
    <xdr:from>
      <xdr:col>14</xdr:col>
      <xdr:colOff>235324</xdr:colOff>
      <xdr:row>23</xdr:row>
      <xdr:rowOff>11202</xdr:rowOff>
    </xdr:from>
    <xdr:to>
      <xdr:col>18</xdr:col>
      <xdr:colOff>459435</xdr:colOff>
      <xdr:row>27</xdr:row>
      <xdr:rowOff>75555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9274549" y="6859677"/>
          <a:ext cx="2014811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Finance</a:t>
          </a:r>
          <a:r>
            <a:rPr lang="en-GB" sz="1100" b="0" baseline="0"/>
            <a:t> &amp; Accounts</a:t>
          </a:r>
          <a:endParaRPr lang="en-GB" sz="1100" b="0"/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2</xdr:col>
      <xdr:colOff>401731</xdr:colOff>
      <xdr:row>26</xdr:row>
      <xdr:rowOff>103654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0" y="6848475"/>
          <a:ext cx="1573306" cy="8085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67231</xdr:colOff>
      <xdr:row>23</xdr:row>
      <xdr:rowOff>4476</xdr:rowOff>
    </xdr:from>
    <xdr:to>
      <xdr:col>7</xdr:col>
      <xdr:colOff>123264</xdr:colOff>
      <xdr:row>26</xdr:row>
      <xdr:rowOff>212184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3305731" y="6840064"/>
          <a:ext cx="1759327" cy="913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Checked</a:t>
          </a:r>
          <a:r>
            <a:rPr lang="en-GB" sz="1100" b="1"/>
            <a:t> by</a:t>
          </a:r>
          <a:r>
            <a:rPr lang="en-GB" sz="1100" b="1" baseline="0"/>
            <a:t> </a:t>
          </a:r>
          <a:br>
            <a:rPr lang="en-GB" sz="1100" b="1" baseline="0"/>
          </a:br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9</xdr:col>
      <xdr:colOff>164085</xdr:colOff>
      <xdr:row>23</xdr:row>
      <xdr:rowOff>4476</xdr:rowOff>
    </xdr:from>
    <xdr:to>
      <xdr:col>13</xdr:col>
      <xdr:colOff>190504</xdr:colOff>
      <xdr:row>27</xdr:row>
      <xdr:rowOff>41856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6282497" y="6840064"/>
          <a:ext cx="2301213" cy="989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Checked By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21</xdr:col>
      <xdr:colOff>291345</xdr:colOff>
      <xdr:row>23</xdr:row>
      <xdr:rowOff>15683</xdr:rowOff>
    </xdr:from>
    <xdr:to>
      <xdr:col>24</xdr:col>
      <xdr:colOff>106574</xdr:colOff>
      <xdr:row>27</xdr:row>
      <xdr:rowOff>80036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12819521" y="6851271"/>
          <a:ext cx="1765053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Operation</a:t>
          </a:r>
        </a:p>
      </xdr:txBody>
    </xdr:sp>
    <xdr:clientData/>
  </xdr:twoCellAnchor>
  <xdr:twoCellAnchor>
    <xdr:from>
      <xdr:col>26</xdr:col>
      <xdr:colOff>369791</xdr:colOff>
      <xdr:row>23</xdr:row>
      <xdr:rowOff>394</xdr:rowOff>
    </xdr:from>
    <xdr:to>
      <xdr:col>31</xdr:col>
      <xdr:colOff>164068</xdr:colOff>
      <xdr:row>26</xdr:row>
      <xdr:rowOff>103326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15811497" y="6835982"/>
          <a:ext cx="1844953" cy="8089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Approved By</a:t>
          </a:r>
        </a:p>
        <a:p>
          <a:pPr algn="ctr"/>
          <a:r>
            <a:rPr lang="en-GB" sz="1100" b="0"/>
            <a:t>Finance Director</a:t>
          </a:r>
        </a:p>
      </xdr:txBody>
    </xdr:sp>
    <xdr:clientData/>
  </xdr:twoCellAnchor>
  <xdr:twoCellAnchor>
    <xdr:from>
      <xdr:col>15</xdr:col>
      <xdr:colOff>246532</xdr:colOff>
      <xdr:row>23</xdr:row>
      <xdr:rowOff>11202</xdr:rowOff>
    </xdr:from>
    <xdr:to>
      <xdr:col>19</xdr:col>
      <xdr:colOff>392202</xdr:colOff>
      <xdr:row>27</xdr:row>
      <xdr:rowOff>75555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9883591" y="6846790"/>
          <a:ext cx="2017052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Finance</a:t>
          </a:r>
          <a:r>
            <a:rPr lang="en-GB" sz="1100" b="0" baseline="0"/>
            <a:t> &amp; Accounts</a:t>
          </a:r>
          <a:endParaRPr lang="en-GB" sz="1100" b="0"/>
        </a:p>
      </xdr:txBody>
    </xdr:sp>
    <xdr:clientData/>
  </xdr:twoCellAnchor>
  <xdr:twoCellAnchor>
    <xdr:from>
      <xdr:col>1</xdr:col>
      <xdr:colOff>302561</xdr:colOff>
      <xdr:row>23</xdr:row>
      <xdr:rowOff>0</xdr:rowOff>
    </xdr:from>
    <xdr:to>
      <xdr:col>2</xdr:col>
      <xdr:colOff>984439</xdr:colOff>
      <xdr:row>26</xdr:row>
      <xdr:rowOff>103654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582708" y="6835588"/>
          <a:ext cx="1578349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918878</xdr:colOff>
      <xdr:row>25</xdr:row>
      <xdr:rowOff>4479</xdr:rowOff>
    </xdr:from>
    <xdr:to>
      <xdr:col>6</xdr:col>
      <xdr:colOff>336176</xdr:colOff>
      <xdr:row>28</xdr:row>
      <xdr:rowOff>178569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3328143" y="7400361"/>
          <a:ext cx="1759327" cy="913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Checked</a:t>
          </a:r>
          <a:r>
            <a:rPr lang="en-GB" sz="1100" b="1"/>
            <a:t> by</a:t>
          </a:r>
          <a:r>
            <a:rPr lang="en-GB" sz="1100" b="1" baseline="0"/>
            <a:t> </a:t>
          </a:r>
          <a:br>
            <a:rPr lang="en-GB" sz="1100" b="1" baseline="0"/>
          </a:br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10</xdr:col>
      <xdr:colOff>220117</xdr:colOff>
      <xdr:row>25</xdr:row>
      <xdr:rowOff>4479</xdr:rowOff>
    </xdr:from>
    <xdr:to>
      <xdr:col>14</xdr:col>
      <xdr:colOff>89653</xdr:colOff>
      <xdr:row>29</xdr:row>
      <xdr:rowOff>41859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6114411" y="7400361"/>
          <a:ext cx="1808154" cy="989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Checked By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22</xdr:col>
      <xdr:colOff>156874</xdr:colOff>
      <xdr:row>25</xdr:row>
      <xdr:rowOff>15686</xdr:rowOff>
    </xdr:from>
    <xdr:to>
      <xdr:col>24</xdr:col>
      <xdr:colOff>509986</xdr:colOff>
      <xdr:row>29</xdr:row>
      <xdr:rowOff>80039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1990286" y="7411568"/>
          <a:ext cx="1765053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Operation</a:t>
          </a:r>
        </a:p>
      </xdr:txBody>
    </xdr:sp>
    <xdr:clientData/>
  </xdr:twoCellAnchor>
  <xdr:twoCellAnchor>
    <xdr:from>
      <xdr:col>27</xdr:col>
      <xdr:colOff>302556</xdr:colOff>
      <xdr:row>25</xdr:row>
      <xdr:rowOff>397</xdr:rowOff>
    </xdr:from>
    <xdr:to>
      <xdr:col>31</xdr:col>
      <xdr:colOff>533862</xdr:colOff>
      <xdr:row>28</xdr:row>
      <xdr:rowOff>69711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4814174" y="7396279"/>
          <a:ext cx="1844953" cy="8089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Approved By</a:t>
          </a:r>
        </a:p>
        <a:p>
          <a:pPr algn="ctr"/>
          <a:r>
            <a:rPr lang="en-GB" sz="1100" b="0"/>
            <a:t>Finance Director</a:t>
          </a:r>
        </a:p>
      </xdr:txBody>
    </xdr:sp>
    <xdr:clientData/>
  </xdr:twoCellAnchor>
  <xdr:twoCellAnchor>
    <xdr:from>
      <xdr:col>17</xdr:col>
      <xdr:colOff>78444</xdr:colOff>
      <xdr:row>25</xdr:row>
      <xdr:rowOff>11205</xdr:rowOff>
    </xdr:from>
    <xdr:to>
      <xdr:col>20</xdr:col>
      <xdr:colOff>291349</xdr:colOff>
      <xdr:row>29</xdr:row>
      <xdr:rowOff>75558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9054356" y="7407087"/>
          <a:ext cx="2017052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Finance</a:t>
          </a:r>
          <a:r>
            <a:rPr lang="en-GB" sz="1100" b="0" baseline="0"/>
            <a:t> &amp; Accounts</a:t>
          </a:r>
          <a:endParaRPr lang="en-GB" sz="1100" b="0"/>
        </a:p>
      </xdr:txBody>
    </xdr:sp>
    <xdr:clientData/>
  </xdr:twoCellAnchor>
  <xdr:twoCellAnchor>
    <xdr:from>
      <xdr:col>1</xdr:col>
      <xdr:colOff>324973</xdr:colOff>
      <xdr:row>25</xdr:row>
      <xdr:rowOff>3</xdr:rowOff>
    </xdr:from>
    <xdr:to>
      <xdr:col>2</xdr:col>
      <xdr:colOff>1006851</xdr:colOff>
      <xdr:row>28</xdr:row>
      <xdr:rowOff>70039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605120" y="7395885"/>
          <a:ext cx="1578349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90</xdr:row>
      <xdr:rowOff>15682</xdr:rowOff>
    </xdr:from>
    <xdr:to>
      <xdr:col>5</xdr:col>
      <xdr:colOff>347386</xdr:colOff>
      <xdr:row>93</xdr:row>
      <xdr:rowOff>245802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3440206" y="59193947"/>
          <a:ext cx="1759327" cy="913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Checked</a:t>
          </a:r>
          <a:r>
            <a:rPr lang="en-GB" sz="1100" b="1"/>
            <a:t> by</a:t>
          </a:r>
          <a:r>
            <a:rPr lang="en-GB" sz="1100" b="1" baseline="0"/>
            <a:t> </a:t>
          </a:r>
          <a:br>
            <a:rPr lang="en-GB" sz="1100" b="1" baseline="0"/>
          </a:br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8</xdr:col>
      <xdr:colOff>141684</xdr:colOff>
      <xdr:row>90</xdr:row>
      <xdr:rowOff>4476</xdr:rowOff>
    </xdr:from>
    <xdr:to>
      <xdr:col>11</xdr:col>
      <xdr:colOff>347397</xdr:colOff>
      <xdr:row>94</xdr:row>
      <xdr:rowOff>64268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6360949" y="59182741"/>
          <a:ext cx="1808154" cy="989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Checked By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20</xdr:col>
      <xdr:colOff>179289</xdr:colOff>
      <xdr:row>90</xdr:row>
      <xdr:rowOff>15683</xdr:rowOff>
    </xdr:from>
    <xdr:to>
      <xdr:col>23</xdr:col>
      <xdr:colOff>140195</xdr:colOff>
      <xdr:row>94</xdr:row>
      <xdr:rowOff>102448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3525495" y="59193948"/>
          <a:ext cx="1765053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Operation</a:t>
          </a:r>
        </a:p>
      </xdr:txBody>
    </xdr:sp>
    <xdr:clientData/>
  </xdr:twoCellAnchor>
  <xdr:twoCellAnchor>
    <xdr:from>
      <xdr:col>26</xdr:col>
      <xdr:colOff>49606</xdr:colOff>
      <xdr:row>90</xdr:row>
      <xdr:rowOff>394</xdr:rowOff>
    </xdr:from>
    <xdr:to>
      <xdr:col>29</xdr:col>
      <xdr:colOff>264921</xdr:colOff>
      <xdr:row>93</xdr:row>
      <xdr:rowOff>125738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6723959" y="59178659"/>
          <a:ext cx="1952227" cy="8089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Approved By</a:t>
          </a:r>
        </a:p>
        <a:p>
          <a:pPr algn="ctr"/>
          <a:r>
            <a:rPr lang="en-GB" sz="1100" b="0"/>
            <a:t>Finance Director</a:t>
          </a:r>
        </a:p>
      </xdr:txBody>
    </xdr:sp>
    <xdr:clientData/>
  </xdr:twoCellAnchor>
  <xdr:twoCellAnchor>
    <xdr:from>
      <xdr:col>13</xdr:col>
      <xdr:colOff>560299</xdr:colOff>
      <xdr:row>90</xdr:row>
      <xdr:rowOff>11202</xdr:rowOff>
    </xdr:from>
    <xdr:to>
      <xdr:col>17</xdr:col>
      <xdr:colOff>179293</xdr:colOff>
      <xdr:row>94</xdr:row>
      <xdr:rowOff>97967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9838770" y="59189467"/>
          <a:ext cx="2017052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Finance</a:t>
          </a:r>
          <a:r>
            <a:rPr lang="en-GB" sz="1100" b="0" baseline="0"/>
            <a:t> &amp; Accounts</a:t>
          </a:r>
          <a:endParaRPr lang="en-GB" sz="1100" b="0"/>
        </a:p>
      </xdr:txBody>
    </xdr:sp>
    <xdr:clientData/>
  </xdr:twoCellAnchor>
  <xdr:twoCellAnchor>
    <xdr:from>
      <xdr:col>1</xdr:col>
      <xdr:colOff>67235</xdr:colOff>
      <xdr:row>90</xdr:row>
      <xdr:rowOff>11206</xdr:rowOff>
    </xdr:from>
    <xdr:to>
      <xdr:col>2</xdr:col>
      <xdr:colOff>749113</xdr:colOff>
      <xdr:row>93</xdr:row>
      <xdr:rowOff>137272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403411" y="62842588"/>
          <a:ext cx="1578349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185</xdr:row>
      <xdr:rowOff>127742</xdr:rowOff>
    </xdr:from>
    <xdr:to>
      <xdr:col>6</xdr:col>
      <xdr:colOff>190504</xdr:colOff>
      <xdr:row>189</xdr:row>
      <xdr:rowOff>111333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731559" y="32546360"/>
          <a:ext cx="1759327" cy="913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Checked</a:t>
          </a:r>
          <a:r>
            <a:rPr lang="en-GB" sz="1100" b="1"/>
            <a:t> by</a:t>
          </a:r>
          <a:r>
            <a:rPr lang="en-GB" sz="1100" b="1" baseline="0"/>
            <a:t> </a:t>
          </a:r>
          <a:br>
            <a:rPr lang="en-GB" sz="1100" b="1" baseline="0"/>
          </a:br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9</xdr:col>
      <xdr:colOff>175298</xdr:colOff>
      <xdr:row>185</xdr:row>
      <xdr:rowOff>127742</xdr:rowOff>
    </xdr:from>
    <xdr:to>
      <xdr:col>12</xdr:col>
      <xdr:colOff>33628</xdr:colOff>
      <xdr:row>189</xdr:row>
      <xdr:rowOff>187534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6517827" y="32546360"/>
          <a:ext cx="1808154" cy="989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Checked By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19</xdr:col>
      <xdr:colOff>336176</xdr:colOff>
      <xdr:row>185</xdr:row>
      <xdr:rowOff>138949</xdr:rowOff>
    </xdr:from>
    <xdr:to>
      <xdr:col>22</xdr:col>
      <xdr:colOff>297082</xdr:colOff>
      <xdr:row>190</xdr:row>
      <xdr:rowOff>12802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2797117" y="32557567"/>
          <a:ext cx="1765053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Operation</a:t>
          </a:r>
        </a:p>
      </xdr:txBody>
    </xdr:sp>
    <xdr:clientData/>
  </xdr:twoCellAnchor>
  <xdr:twoCellAnchor>
    <xdr:from>
      <xdr:col>24</xdr:col>
      <xdr:colOff>340967</xdr:colOff>
      <xdr:row>185</xdr:row>
      <xdr:rowOff>123660</xdr:rowOff>
    </xdr:from>
    <xdr:to>
      <xdr:col>29</xdr:col>
      <xdr:colOff>29606</xdr:colOff>
      <xdr:row>189</xdr:row>
      <xdr:rowOff>2475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5628592" y="93859185"/>
          <a:ext cx="1841289" cy="812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Approved By</a:t>
          </a:r>
        </a:p>
        <a:p>
          <a:pPr algn="ctr"/>
          <a:r>
            <a:rPr lang="en-GB" sz="1100" b="0"/>
            <a:t>Finance Director</a:t>
          </a:r>
        </a:p>
      </xdr:txBody>
    </xdr:sp>
    <xdr:clientData/>
  </xdr:twoCellAnchor>
  <xdr:twoCellAnchor>
    <xdr:from>
      <xdr:col>13</xdr:col>
      <xdr:colOff>437037</xdr:colOff>
      <xdr:row>185</xdr:row>
      <xdr:rowOff>134468</xdr:rowOff>
    </xdr:from>
    <xdr:to>
      <xdr:col>17</xdr:col>
      <xdr:colOff>168089</xdr:colOff>
      <xdr:row>190</xdr:row>
      <xdr:rowOff>8321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9457772" y="32553086"/>
          <a:ext cx="2017052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Finance</a:t>
          </a:r>
          <a:r>
            <a:rPr lang="en-GB" sz="1100" b="0" baseline="0"/>
            <a:t> &amp; Accounts</a:t>
          </a:r>
          <a:endParaRPr lang="en-GB" sz="1100" b="0"/>
        </a:p>
      </xdr:txBody>
    </xdr:sp>
    <xdr:clientData/>
  </xdr:twoCellAnchor>
  <xdr:twoCellAnchor>
    <xdr:from>
      <xdr:col>1</xdr:col>
      <xdr:colOff>324974</xdr:colOff>
      <xdr:row>185</xdr:row>
      <xdr:rowOff>123266</xdr:rowOff>
    </xdr:from>
    <xdr:to>
      <xdr:col>2</xdr:col>
      <xdr:colOff>1006852</xdr:colOff>
      <xdr:row>189</xdr:row>
      <xdr:rowOff>2803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605121" y="32541884"/>
          <a:ext cx="1578349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1299881</xdr:colOff>
      <xdr:row>94</xdr:row>
      <xdr:rowOff>4476</xdr:rowOff>
    </xdr:from>
    <xdr:to>
      <xdr:col>4</xdr:col>
      <xdr:colOff>571503</xdr:colOff>
      <xdr:row>97</xdr:row>
      <xdr:rowOff>234596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2476499" y="26573623"/>
          <a:ext cx="1826563" cy="913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Checked</a:t>
          </a:r>
          <a:r>
            <a:rPr lang="en-GB" sz="1100" b="1"/>
            <a:t> by</a:t>
          </a:r>
          <a:r>
            <a:rPr lang="en-GB" sz="1100" b="1" baseline="0"/>
            <a:t> </a:t>
          </a:r>
          <a:br>
            <a:rPr lang="en-GB" sz="1100" b="1" baseline="0"/>
          </a:br>
          <a:r>
            <a:rPr lang="en-GB" sz="1100"/>
            <a:t>Asst.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5</xdr:col>
      <xdr:colOff>645946</xdr:colOff>
      <xdr:row>94</xdr:row>
      <xdr:rowOff>4476</xdr:rowOff>
    </xdr:from>
    <xdr:to>
      <xdr:col>10</xdr:col>
      <xdr:colOff>44834</xdr:colOff>
      <xdr:row>98</xdr:row>
      <xdr:rowOff>64268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5509299" y="26573623"/>
          <a:ext cx="1808153" cy="989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br>
            <a:rPr lang="en-GB" sz="1100" b="1"/>
          </a:br>
          <a:r>
            <a:rPr lang="en-GB" sz="1100" b="1"/>
            <a:t>Checked By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Manager</a:t>
          </a:r>
          <a:br>
            <a:rPr lang="en-GB" sz="1100" b="0"/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Finance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&amp; Accounts</a:t>
          </a:r>
          <a:endParaRPr lang="en-GB">
            <a:effectLst/>
          </a:endParaRPr>
        </a:p>
      </xdr:txBody>
    </xdr:sp>
    <xdr:clientData/>
  </xdr:twoCellAnchor>
  <xdr:twoCellAnchor>
    <xdr:from>
      <xdr:col>16</xdr:col>
      <xdr:colOff>33618</xdr:colOff>
      <xdr:row>94</xdr:row>
      <xdr:rowOff>15683</xdr:rowOff>
    </xdr:from>
    <xdr:to>
      <xdr:col>18</xdr:col>
      <xdr:colOff>498789</xdr:colOff>
      <xdr:row>98</xdr:row>
      <xdr:rowOff>102448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11026589" y="26584830"/>
          <a:ext cx="1765053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Operation</a:t>
          </a:r>
        </a:p>
      </xdr:txBody>
    </xdr:sp>
    <xdr:clientData/>
  </xdr:twoCellAnchor>
  <xdr:twoCellAnchor>
    <xdr:from>
      <xdr:col>21</xdr:col>
      <xdr:colOff>150468</xdr:colOff>
      <xdr:row>94</xdr:row>
      <xdr:rowOff>394</xdr:rowOff>
    </xdr:from>
    <xdr:to>
      <xdr:col>24</xdr:col>
      <xdr:colOff>11207</xdr:colOff>
      <xdr:row>97</xdr:row>
      <xdr:rowOff>125738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14000939" y="26569541"/>
          <a:ext cx="1642474" cy="8089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Approved By</a:t>
          </a:r>
        </a:p>
        <a:p>
          <a:pPr algn="ctr"/>
          <a:r>
            <a:rPr lang="en-GB" sz="1100" b="0"/>
            <a:t>Finance Director</a:t>
          </a:r>
        </a:p>
      </xdr:txBody>
    </xdr:sp>
    <xdr:clientData/>
  </xdr:twoCellAnchor>
  <xdr:twoCellAnchor>
    <xdr:from>
      <xdr:col>11</xdr:col>
      <xdr:colOff>347392</xdr:colOff>
      <xdr:row>94</xdr:row>
      <xdr:rowOff>11202</xdr:rowOff>
    </xdr:from>
    <xdr:to>
      <xdr:col>14</xdr:col>
      <xdr:colOff>156884</xdr:colOff>
      <xdr:row>98</xdr:row>
      <xdr:rowOff>97967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8247539" y="26580349"/>
          <a:ext cx="1837757" cy="1016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</a:t>
          </a:r>
          <a:endParaRPr lang="en-GB">
            <a:effectLst/>
          </a:endParaRPr>
        </a:p>
        <a:p>
          <a:pPr algn="ctr"/>
          <a:r>
            <a:rPr lang="en-GB" sz="1100" b="1"/>
            <a:t>Recommended By</a:t>
          </a:r>
        </a:p>
        <a:p>
          <a:pPr algn="ctr"/>
          <a:r>
            <a:rPr lang="en-GB" sz="1100" b="0"/>
            <a:t>General Manager </a:t>
          </a:r>
          <a:br>
            <a:rPr lang="en-GB" sz="1100" b="0"/>
          </a:br>
          <a:r>
            <a:rPr lang="en-GB" sz="1100" b="0"/>
            <a:t>Finance</a:t>
          </a:r>
          <a:r>
            <a:rPr lang="en-GB" sz="1100" b="0" baseline="0"/>
            <a:t> &amp; Accounts</a:t>
          </a:r>
          <a:endParaRPr lang="en-GB" sz="1100" b="0"/>
        </a:p>
      </xdr:txBody>
    </xdr:sp>
    <xdr:clientData/>
  </xdr:twoCellAnchor>
  <xdr:twoCellAnchor>
    <xdr:from>
      <xdr:col>0</xdr:col>
      <xdr:colOff>56031</xdr:colOff>
      <xdr:row>94</xdr:row>
      <xdr:rowOff>0</xdr:rowOff>
    </xdr:from>
    <xdr:to>
      <xdr:col>2</xdr:col>
      <xdr:colOff>457762</xdr:colOff>
      <xdr:row>97</xdr:row>
      <xdr:rowOff>126066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56031" y="26569147"/>
          <a:ext cx="1578349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</a:t>
          </a:r>
          <a:br>
            <a:rPr lang="en-GB" sz="1100" b="1"/>
          </a:br>
          <a:r>
            <a:rPr lang="en-GB" sz="1100" b="1"/>
            <a:t>Prepared by</a:t>
          </a:r>
        </a:p>
        <a:p>
          <a:pPr algn="ctr"/>
          <a:r>
            <a:rPr lang="en-GB" sz="1100"/>
            <a:t>Dy. Manager</a:t>
          </a:r>
        </a:p>
        <a:p>
          <a:pPr algn="ctr"/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HR &amp; Admin</a:t>
          </a:r>
          <a:endParaRPr lang="en-GB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mun%20-%20SQ\SQ%20Trading%20&amp;%20Engineering%20Ltd\Salary%20Sheet\Salary%20&amp;%20Allowance\Salary%20&amp;%20Allowance%20-%202024\08.%20August-2024\1.%20Salary%20%20&amp;%20Allowance%20%20-%20August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mun%20-%20SQ\SQ%20Trading%20&amp;%20Engineering%20Ltd\Salary%20Sheet\Salary%20&amp;%20Allowance\Salary%20&amp;%20Allowance%20-%202024\05.%20May-2024\1.%20Salary%20%20&amp;%20Allowance%20%20-%20May-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Roaming/Microsoft/AddIns/SpellNumbe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um-Dep."/>
      <sheetName val="Summary-Unit"/>
      <sheetName val="Seed - Salary -April-23"/>
      <sheetName val="Salary -Aug-2024"/>
      <sheetName val="SQ-Tax Calculation"/>
      <sheetName val="GM-Harvester"/>
      <sheetName val="Sr. GM-Tractor"/>
      <sheetName val="BSFIC"/>
      <sheetName val="CEO-R&amp;D"/>
      <sheetName val="GM-Fin"/>
      <sheetName val="Harv"/>
      <sheetName val="Tractor"/>
      <sheetName val="Pesticide"/>
      <sheetName val="Fertilizer"/>
      <sheetName val="Seed"/>
      <sheetName val="Spare Parts"/>
      <sheetName val="AHC"/>
      <sheetName val="Forwading-360"/>
      <sheetName val="Bank Sum-360"/>
      <sheetName val="Forwading-801"/>
      <sheetName val="Bank Sum-801"/>
      <sheetName val="Forwading-6151"/>
      <sheetName val="Bank Sum-6151"/>
      <sheetName val="Incentive"/>
      <sheetName val="55 Bike "/>
      <sheetName val="Lunch bill"/>
      <sheetName val="Attendance"/>
      <sheetName val="Bonus"/>
      <sheetName val="Sheet1"/>
      <sheetName val="Forwading-801 (2)"/>
      <sheetName val="Bank Sum-801 (2)"/>
      <sheetName val="Sheet4"/>
      <sheetName val="Increment"/>
      <sheetName val="Incentive."/>
    </sheetNames>
    <sheetDataSet>
      <sheetData sheetId="0">
        <row r="1">
          <cell r="A1" t="str">
            <v>SQ Trading &amp; Engineering - FMD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">
          <cell r="B6" t="str">
            <v>SQFMD-0445</v>
          </cell>
          <cell r="C6" t="str">
            <v>Md. Sabbir Rahman</v>
          </cell>
          <cell r="D6" t="str">
            <v>Manager</v>
          </cell>
          <cell r="E6" t="str">
            <v>Commercial &amp; SCM</v>
          </cell>
          <cell r="F6">
            <v>43862</v>
          </cell>
          <cell r="G6">
            <v>31</v>
          </cell>
          <cell r="H6">
            <v>0</v>
          </cell>
          <cell r="I6">
            <v>5</v>
          </cell>
          <cell r="J6">
            <v>2</v>
          </cell>
          <cell r="K6">
            <v>24</v>
          </cell>
          <cell r="L6"/>
        </row>
        <row r="7">
          <cell r="B7" t="str">
            <v>SQFMD-0501</v>
          </cell>
          <cell r="C7" t="str">
            <v>Md Rabiul Islam</v>
          </cell>
          <cell r="D7" t="str">
            <v>Executive Accounts</v>
          </cell>
          <cell r="E7" t="str">
            <v>Finance &amp; Accounts</v>
          </cell>
          <cell r="F7">
            <v>44495</v>
          </cell>
          <cell r="G7">
            <v>31</v>
          </cell>
          <cell r="H7">
            <v>0</v>
          </cell>
          <cell r="I7">
            <v>5</v>
          </cell>
          <cell r="J7">
            <v>2</v>
          </cell>
          <cell r="K7">
            <v>24</v>
          </cell>
          <cell r="L7"/>
        </row>
        <row r="8">
          <cell r="B8" t="str">
            <v>SQFMD-0502</v>
          </cell>
          <cell r="C8" t="str">
            <v>Md Shariful Alam</v>
          </cell>
          <cell r="D8" t="str">
            <v>Manager</v>
          </cell>
          <cell r="E8" t="str">
            <v>Store &amp; Logistics</v>
          </cell>
          <cell r="F8">
            <v>44332</v>
          </cell>
          <cell r="G8">
            <v>31</v>
          </cell>
          <cell r="H8">
            <v>0</v>
          </cell>
          <cell r="I8">
            <v>5</v>
          </cell>
          <cell r="J8">
            <v>2</v>
          </cell>
          <cell r="K8">
            <v>24</v>
          </cell>
          <cell r="L8"/>
        </row>
        <row r="9">
          <cell r="B9" t="str">
            <v>SQFMD-0503</v>
          </cell>
          <cell r="C9" t="str">
            <v>Md. A. Wadud Mollah</v>
          </cell>
          <cell r="D9" t="str">
            <v>AGM</v>
          </cell>
          <cell r="E9" t="str">
            <v>S&amp;M</v>
          </cell>
          <cell r="F9">
            <v>44317</v>
          </cell>
          <cell r="G9">
            <v>31</v>
          </cell>
          <cell r="H9">
            <v>0</v>
          </cell>
          <cell r="I9">
            <v>5</v>
          </cell>
          <cell r="J9">
            <v>2</v>
          </cell>
          <cell r="K9">
            <v>24</v>
          </cell>
          <cell r="L9"/>
        </row>
        <row r="10">
          <cell r="B10" t="str">
            <v>SQFMD-0504</v>
          </cell>
          <cell r="C10" t="str">
            <v>Md. Sultan Mahmud</v>
          </cell>
          <cell r="D10" t="str">
            <v>AGM</v>
          </cell>
          <cell r="E10" t="str">
            <v>S&amp;M</v>
          </cell>
          <cell r="F10">
            <v>44343</v>
          </cell>
          <cell r="G10">
            <v>31</v>
          </cell>
          <cell r="H10">
            <v>0</v>
          </cell>
          <cell r="I10">
            <v>5</v>
          </cell>
          <cell r="J10">
            <v>2</v>
          </cell>
          <cell r="K10">
            <v>24</v>
          </cell>
          <cell r="L10"/>
        </row>
        <row r="11">
          <cell r="B11" t="str">
            <v>SQFMD-0506</v>
          </cell>
          <cell r="C11" t="str">
            <v>Minhaz Al Haque</v>
          </cell>
          <cell r="D11" t="str">
            <v>RM</v>
          </cell>
          <cell r="E11" t="str">
            <v>S&amp;M</v>
          </cell>
          <cell r="F11">
            <v>44440</v>
          </cell>
          <cell r="G11">
            <v>31</v>
          </cell>
          <cell r="H11">
            <v>3</v>
          </cell>
          <cell r="I11">
            <v>5</v>
          </cell>
          <cell r="J11">
            <v>2</v>
          </cell>
          <cell r="K11">
            <v>21</v>
          </cell>
          <cell r="L11"/>
        </row>
        <row r="12">
          <cell r="B12" t="str">
            <v>SQFMD-0508</v>
          </cell>
          <cell r="C12" t="str">
            <v>Md. Ibrahim Miah</v>
          </cell>
          <cell r="D12" t="str">
            <v>Sr. Regional Manager</v>
          </cell>
          <cell r="E12" t="str">
            <v>S&amp;M</v>
          </cell>
          <cell r="F12">
            <v>44472</v>
          </cell>
          <cell r="G12">
            <v>31</v>
          </cell>
          <cell r="H12">
            <v>0</v>
          </cell>
          <cell r="I12">
            <v>5</v>
          </cell>
          <cell r="J12">
            <v>2</v>
          </cell>
          <cell r="K12">
            <v>24</v>
          </cell>
          <cell r="L12"/>
        </row>
        <row r="13">
          <cell r="B13" t="str">
            <v>SQFMD-0510</v>
          </cell>
          <cell r="C13" t="str">
            <v>Md. Azharul Islam</v>
          </cell>
          <cell r="D13" t="str">
            <v>STSO</v>
          </cell>
          <cell r="E13" t="str">
            <v>S&amp;M</v>
          </cell>
          <cell r="F13">
            <v>44467</v>
          </cell>
          <cell r="G13">
            <v>31</v>
          </cell>
          <cell r="H13">
            <v>0</v>
          </cell>
          <cell r="I13">
            <v>5</v>
          </cell>
          <cell r="J13">
            <v>2</v>
          </cell>
          <cell r="K13">
            <v>24</v>
          </cell>
          <cell r="L13"/>
        </row>
        <row r="14">
          <cell r="B14" t="str">
            <v>SQFMD-0511</v>
          </cell>
          <cell r="C14" t="str">
            <v>Md. Shafiq Miah</v>
          </cell>
          <cell r="D14" t="str">
            <v>Mechanic</v>
          </cell>
          <cell r="E14" t="str">
            <v>Technical</v>
          </cell>
          <cell r="F14">
            <v>44362</v>
          </cell>
          <cell r="G14">
            <v>31</v>
          </cell>
          <cell r="H14">
            <v>5</v>
          </cell>
          <cell r="I14">
            <v>5</v>
          </cell>
          <cell r="J14">
            <v>2</v>
          </cell>
          <cell r="K14">
            <v>19</v>
          </cell>
          <cell r="L14"/>
        </row>
        <row r="15">
          <cell r="B15" t="str">
            <v>SQFMD-0512</v>
          </cell>
          <cell r="C15" t="str">
            <v>Nazmun Sadman Sakib</v>
          </cell>
          <cell r="D15" t="str">
            <v>Assistant Manager</v>
          </cell>
          <cell r="E15" t="str">
            <v>Audit &amp; Monitoring</v>
          </cell>
          <cell r="F15">
            <v>44556</v>
          </cell>
          <cell r="G15">
            <v>31</v>
          </cell>
          <cell r="H15">
            <v>0</v>
          </cell>
          <cell r="I15">
            <v>5</v>
          </cell>
          <cell r="J15">
            <v>2</v>
          </cell>
          <cell r="K15">
            <v>24</v>
          </cell>
          <cell r="L15"/>
        </row>
        <row r="16">
          <cell r="B16" t="str">
            <v>SQFMD-0513</v>
          </cell>
          <cell r="C16" t="str">
            <v>Md. Mahfuzur Rahman Sazal</v>
          </cell>
          <cell r="D16" t="str">
            <v>Assistant Manager</v>
          </cell>
          <cell r="E16" t="str">
            <v>Finance &amp; Accounts</v>
          </cell>
          <cell r="F16">
            <v>44566</v>
          </cell>
          <cell r="G16">
            <v>31</v>
          </cell>
          <cell r="H16">
            <v>0</v>
          </cell>
          <cell r="I16">
            <v>5</v>
          </cell>
          <cell r="J16">
            <v>2</v>
          </cell>
          <cell r="K16">
            <v>24</v>
          </cell>
          <cell r="L16"/>
        </row>
        <row r="17">
          <cell r="B17" t="str">
            <v>SQFMD-0515</v>
          </cell>
          <cell r="C17" t="str">
            <v>Md. Kawsaruzzaman</v>
          </cell>
          <cell r="D17" t="str">
            <v>Deputy Manager</v>
          </cell>
          <cell r="E17" t="str">
            <v>HR &amp; Admin</v>
          </cell>
          <cell r="F17">
            <v>44580</v>
          </cell>
          <cell r="G17">
            <v>31</v>
          </cell>
          <cell r="H17">
            <v>2</v>
          </cell>
          <cell r="I17">
            <v>5</v>
          </cell>
          <cell r="J17">
            <v>2</v>
          </cell>
          <cell r="K17">
            <v>22</v>
          </cell>
          <cell r="L17"/>
        </row>
        <row r="18">
          <cell r="B18" t="str">
            <v>SQFMD-0516</v>
          </cell>
          <cell r="C18" t="str">
            <v>Ashfaq Ahmed</v>
          </cell>
          <cell r="D18" t="str">
            <v>DGM</v>
          </cell>
          <cell r="E18" t="str">
            <v>S&amp;M</v>
          </cell>
          <cell r="F18">
            <v>44593</v>
          </cell>
          <cell r="G18">
            <v>31</v>
          </cell>
          <cell r="H18">
            <v>0</v>
          </cell>
          <cell r="I18">
            <v>5</v>
          </cell>
          <cell r="J18">
            <v>2</v>
          </cell>
          <cell r="K18">
            <v>24</v>
          </cell>
          <cell r="L18"/>
        </row>
        <row r="19">
          <cell r="B19" t="str">
            <v>SQFMD-0517</v>
          </cell>
          <cell r="C19" t="str">
            <v>Md. Mohidul Islam Chowdhury</v>
          </cell>
          <cell r="D19" t="str">
            <v>COO</v>
          </cell>
          <cell r="E19" t="str">
            <v>Pesticide &amp; Fertilizer</v>
          </cell>
          <cell r="F19">
            <v>44555</v>
          </cell>
          <cell r="G19">
            <v>31</v>
          </cell>
          <cell r="H19">
            <v>0</v>
          </cell>
          <cell r="I19">
            <v>5</v>
          </cell>
          <cell r="J19">
            <v>2</v>
          </cell>
          <cell r="K19">
            <v>24</v>
          </cell>
          <cell r="L19"/>
        </row>
        <row r="20">
          <cell r="B20" t="str">
            <v>SQFMD-0518</v>
          </cell>
          <cell r="C20" t="str">
            <v>Md. Tohidur Rahman</v>
          </cell>
          <cell r="D20" t="str">
            <v>Senior Manager</v>
          </cell>
          <cell r="E20" t="str">
            <v>Commercial &amp; SCM</v>
          </cell>
          <cell r="F20">
            <v>44607</v>
          </cell>
          <cell r="G20">
            <v>31</v>
          </cell>
          <cell r="H20">
            <v>0</v>
          </cell>
          <cell r="I20">
            <v>5</v>
          </cell>
          <cell r="J20">
            <v>2</v>
          </cell>
          <cell r="K20">
            <v>24</v>
          </cell>
          <cell r="L20"/>
        </row>
        <row r="21">
          <cell r="B21" t="str">
            <v>SQFMD-0519</v>
          </cell>
          <cell r="C21" t="str">
            <v>Mostavi Fahmid</v>
          </cell>
          <cell r="D21" t="str">
            <v>Assistant Manager (R&amp;D)</v>
          </cell>
          <cell r="E21" t="str">
            <v>Pesticide &amp; Fertilizer</v>
          </cell>
          <cell r="F21">
            <v>44593</v>
          </cell>
          <cell r="G21">
            <v>31</v>
          </cell>
          <cell r="H21">
            <v>1</v>
          </cell>
          <cell r="I21">
            <v>5</v>
          </cell>
          <cell r="J21">
            <v>2</v>
          </cell>
          <cell r="K21">
            <v>23</v>
          </cell>
          <cell r="L21"/>
        </row>
        <row r="22">
          <cell r="B22" t="str">
            <v>SQFMD-0523</v>
          </cell>
          <cell r="C22" t="str">
            <v>Md. Rois Uddin</v>
          </cell>
          <cell r="D22" t="str">
            <v>Mechanic</v>
          </cell>
          <cell r="E22" t="str">
            <v>Technical</v>
          </cell>
          <cell r="F22">
            <v>44602</v>
          </cell>
          <cell r="G22">
            <v>31</v>
          </cell>
          <cell r="H22">
            <v>1</v>
          </cell>
          <cell r="I22">
            <v>5</v>
          </cell>
          <cell r="J22">
            <v>2</v>
          </cell>
          <cell r="K22">
            <v>23</v>
          </cell>
          <cell r="L22"/>
        </row>
        <row r="23">
          <cell r="B23" t="str">
            <v>SQFMD-0525</v>
          </cell>
          <cell r="C23" t="str">
            <v>Md. Abdullah</v>
          </cell>
          <cell r="D23" t="str">
            <v>Sr. Service Engineer</v>
          </cell>
          <cell r="E23" t="str">
            <v>Technical</v>
          </cell>
          <cell r="F23">
            <v>44835</v>
          </cell>
          <cell r="G23">
            <v>31</v>
          </cell>
          <cell r="H23">
            <v>0</v>
          </cell>
          <cell r="I23">
            <v>5</v>
          </cell>
          <cell r="J23">
            <v>2</v>
          </cell>
          <cell r="K23">
            <v>24</v>
          </cell>
          <cell r="L23"/>
        </row>
        <row r="24">
          <cell r="B24" t="str">
            <v>SQFMD-0527</v>
          </cell>
          <cell r="C24" t="str">
            <v>Md. Nefaur Rahman</v>
          </cell>
          <cell r="D24" t="str">
            <v>Mechanic</v>
          </cell>
          <cell r="E24" t="str">
            <v>Technical</v>
          </cell>
          <cell r="F24">
            <v>44604</v>
          </cell>
          <cell r="G24">
            <v>31</v>
          </cell>
          <cell r="H24">
            <v>0</v>
          </cell>
          <cell r="I24">
            <v>5</v>
          </cell>
          <cell r="J24">
            <v>2</v>
          </cell>
          <cell r="K24">
            <v>24</v>
          </cell>
          <cell r="L24"/>
        </row>
        <row r="25">
          <cell r="B25" t="str">
            <v>SQFMD-0529</v>
          </cell>
          <cell r="C25" t="str">
            <v>Imran Hossain</v>
          </cell>
          <cell r="D25" t="str">
            <v>Territory Sales Officer (Stemz)</v>
          </cell>
          <cell r="E25" t="str">
            <v>S&amp;M</v>
          </cell>
          <cell r="F25">
            <v>44024</v>
          </cell>
          <cell r="G25">
            <v>31</v>
          </cell>
          <cell r="H25">
            <v>0</v>
          </cell>
          <cell r="I25">
            <v>5</v>
          </cell>
          <cell r="J25">
            <v>2</v>
          </cell>
          <cell r="K25">
            <v>24</v>
          </cell>
          <cell r="L25"/>
        </row>
        <row r="26">
          <cell r="B26" t="str">
            <v>SQFMD-0530</v>
          </cell>
          <cell r="C26" t="str">
            <v>Md. Lutfar Rahman</v>
          </cell>
          <cell r="D26" t="str">
            <v>Mechanic</v>
          </cell>
          <cell r="E26" t="str">
            <v>Technical</v>
          </cell>
          <cell r="F26">
            <v>44640</v>
          </cell>
          <cell r="G26">
            <v>31</v>
          </cell>
          <cell r="H26">
            <v>0</v>
          </cell>
          <cell r="I26">
            <v>5</v>
          </cell>
          <cell r="J26">
            <v>2</v>
          </cell>
          <cell r="K26">
            <v>24</v>
          </cell>
          <cell r="L26"/>
        </row>
        <row r="27">
          <cell r="B27" t="str">
            <v>SQFMD-0531</v>
          </cell>
          <cell r="C27" t="str">
            <v>Md. Ali Hossain</v>
          </cell>
          <cell r="D27" t="str">
            <v>Jr. Mechanic</v>
          </cell>
          <cell r="E27" t="str">
            <v>Technical</v>
          </cell>
          <cell r="F27">
            <v>45048</v>
          </cell>
          <cell r="G27">
            <v>31</v>
          </cell>
          <cell r="H27">
            <v>0</v>
          </cell>
          <cell r="I27">
            <v>5</v>
          </cell>
          <cell r="J27">
            <v>2</v>
          </cell>
          <cell r="K27">
            <v>24</v>
          </cell>
          <cell r="L27"/>
        </row>
        <row r="28">
          <cell r="B28" t="str">
            <v>SQFMD-0532</v>
          </cell>
          <cell r="C28" t="str">
            <v>Arman Hossen</v>
          </cell>
          <cell r="D28" t="str">
            <v>Jr. Mechanic</v>
          </cell>
          <cell r="E28" t="str">
            <v>Technical</v>
          </cell>
          <cell r="F28">
            <v>44600</v>
          </cell>
          <cell r="G28">
            <v>31</v>
          </cell>
          <cell r="H28">
            <v>1</v>
          </cell>
          <cell r="I28">
            <v>5</v>
          </cell>
          <cell r="J28">
            <v>2</v>
          </cell>
          <cell r="K28">
            <v>23</v>
          </cell>
          <cell r="L28"/>
        </row>
        <row r="29">
          <cell r="B29" t="str">
            <v>SQFMD-0533</v>
          </cell>
          <cell r="C29" t="str">
            <v>Md. Iqbal</v>
          </cell>
          <cell r="D29" t="str">
            <v>Jr.Mechanic</v>
          </cell>
          <cell r="E29" t="str">
            <v>Technical</v>
          </cell>
          <cell r="F29">
            <v>44601</v>
          </cell>
          <cell r="G29">
            <v>31</v>
          </cell>
          <cell r="H29">
            <v>0</v>
          </cell>
          <cell r="I29">
            <v>5</v>
          </cell>
          <cell r="J29">
            <v>2</v>
          </cell>
          <cell r="K29">
            <v>24</v>
          </cell>
          <cell r="L29"/>
        </row>
        <row r="30">
          <cell r="B30" t="str">
            <v>SQFMD-0535</v>
          </cell>
          <cell r="C30" t="str">
            <v>Md. Obaydur Rahaman</v>
          </cell>
          <cell r="D30" t="str">
            <v>Store Assistant</v>
          </cell>
          <cell r="E30" t="str">
            <v>Store &amp; Logistics</v>
          </cell>
          <cell r="F30">
            <v>44619</v>
          </cell>
          <cell r="G30">
            <v>31</v>
          </cell>
          <cell r="H30">
            <v>0</v>
          </cell>
          <cell r="I30">
            <v>5</v>
          </cell>
          <cell r="J30">
            <v>2</v>
          </cell>
          <cell r="K30">
            <v>24</v>
          </cell>
          <cell r="L30"/>
        </row>
        <row r="31">
          <cell r="B31" t="str">
            <v>SQFMD-0536</v>
          </cell>
          <cell r="C31" t="str">
            <v>Md. Asaduzzaman Mintu</v>
          </cell>
          <cell r="D31" t="str">
            <v>STSO</v>
          </cell>
          <cell r="E31" t="str">
            <v>S&amp;M</v>
          </cell>
          <cell r="F31">
            <v>44630</v>
          </cell>
          <cell r="G31">
            <v>31</v>
          </cell>
          <cell r="H31">
            <v>0</v>
          </cell>
          <cell r="I31">
            <v>5</v>
          </cell>
          <cell r="J31">
            <v>2</v>
          </cell>
          <cell r="K31">
            <v>24</v>
          </cell>
          <cell r="L31"/>
        </row>
        <row r="32">
          <cell r="B32" t="str">
            <v>SQFMD-0537</v>
          </cell>
          <cell r="C32" t="str">
            <v>Md. Salim Reza</v>
          </cell>
          <cell r="D32" t="str">
            <v>Territory Sales Officer</v>
          </cell>
          <cell r="E32" t="str">
            <v>S&amp;M</v>
          </cell>
          <cell r="F32">
            <v>44654</v>
          </cell>
          <cell r="G32">
            <v>31</v>
          </cell>
          <cell r="H32">
            <v>0</v>
          </cell>
          <cell r="I32">
            <v>5</v>
          </cell>
          <cell r="J32">
            <v>2</v>
          </cell>
          <cell r="K32">
            <v>24</v>
          </cell>
          <cell r="L32"/>
        </row>
        <row r="33">
          <cell r="B33" t="str">
            <v>SQFMD-0538</v>
          </cell>
          <cell r="C33" t="str">
            <v>Sumon Babu</v>
          </cell>
          <cell r="D33" t="str">
            <v>Territory Sales Officer</v>
          </cell>
          <cell r="E33" t="str">
            <v>S&amp;M</v>
          </cell>
          <cell r="F33">
            <v>44654</v>
          </cell>
          <cell r="G33">
            <v>31</v>
          </cell>
          <cell r="H33">
            <v>0</v>
          </cell>
          <cell r="I33">
            <v>5</v>
          </cell>
          <cell r="J33">
            <v>2</v>
          </cell>
          <cell r="K33">
            <v>24</v>
          </cell>
          <cell r="L33"/>
        </row>
        <row r="34">
          <cell r="B34" t="str">
            <v>SQFMD-0539</v>
          </cell>
          <cell r="C34" t="str">
            <v>Md. Hamidur Rahman</v>
          </cell>
          <cell r="D34" t="str">
            <v>Sr. Credit Recovery Officer</v>
          </cell>
          <cell r="E34" t="str">
            <v>CRRM</v>
          </cell>
          <cell r="F34">
            <v>44623</v>
          </cell>
          <cell r="G34">
            <v>31</v>
          </cell>
          <cell r="H34">
            <v>2</v>
          </cell>
          <cell r="I34">
            <v>5</v>
          </cell>
          <cell r="J34">
            <v>2</v>
          </cell>
          <cell r="K34">
            <v>22</v>
          </cell>
          <cell r="L34"/>
        </row>
        <row r="35">
          <cell r="B35" t="str">
            <v>SQFMD-0540</v>
          </cell>
          <cell r="C35" t="str">
            <v>Md. Shamsul Alam</v>
          </cell>
          <cell r="D35" t="str">
            <v>Assistant Territory Manager</v>
          </cell>
          <cell r="E35" t="str">
            <v>S&amp;M</v>
          </cell>
          <cell r="F35">
            <v>44625</v>
          </cell>
          <cell r="G35">
            <v>31</v>
          </cell>
          <cell r="H35">
            <v>0</v>
          </cell>
          <cell r="I35">
            <v>5</v>
          </cell>
          <cell r="J35">
            <v>2</v>
          </cell>
          <cell r="K35">
            <v>24</v>
          </cell>
          <cell r="L35"/>
        </row>
        <row r="36">
          <cell r="B36" t="str">
            <v>SQFMD-0541</v>
          </cell>
          <cell r="C36" t="str">
            <v>Syed Ali Azgar</v>
          </cell>
          <cell r="D36" t="str">
            <v>Assistant Territory Manager</v>
          </cell>
          <cell r="E36" t="str">
            <v>S&amp;M</v>
          </cell>
          <cell r="F36">
            <v>44626</v>
          </cell>
          <cell r="G36">
            <v>31</v>
          </cell>
          <cell r="H36">
            <v>2</v>
          </cell>
          <cell r="I36">
            <v>5</v>
          </cell>
          <cell r="J36">
            <v>2</v>
          </cell>
          <cell r="K36">
            <v>22</v>
          </cell>
          <cell r="L36"/>
        </row>
        <row r="37">
          <cell r="B37" t="str">
            <v>SQFMD-0542</v>
          </cell>
          <cell r="C37" t="str">
            <v>Md. Abdur Rob Mondal</v>
          </cell>
          <cell r="D37" t="str">
            <v>Store &amp; Accounts Officer</v>
          </cell>
          <cell r="E37" t="str">
            <v>Store &amp; Logistics</v>
          </cell>
          <cell r="F37">
            <v>44972</v>
          </cell>
          <cell r="G37">
            <v>31</v>
          </cell>
          <cell r="H37">
            <v>0</v>
          </cell>
          <cell r="I37">
            <v>5</v>
          </cell>
          <cell r="J37">
            <v>2</v>
          </cell>
          <cell r="K37">
            <v>24</v>
          </cell>
          <cell r="L37"/>
        </row>
        <row r="38">
          <cell r="B38" t="str">
            <v>SQFMD-0543</v>
          </cell>
          <cell r="C38" t="str">
            <v>Md. Mizanur Rahman</v>
          </cell>
          <cell r="D38" t="str">
            <v>Territory Manager</v>
          </cell>
          <cell r="E38" t="str">
            <v>S&amp;M</v>
          </cell>
          <cell r="F38">
            <v>44621</v>
          </cell>
          <cell r="G38">
            <v>31</v>
          </cell>
          <cell r="H38">
            <v>3</v>
          </cell>
          <cell r="I38">
            <v>5</v>
          </cell>
          <cell r="J38">
            <v>2</v>
          </cell>
          <cell r="K38">
            <v>21</v>
          </cell>
          <cell r="L38"/>
        </row>
        <row r="39">
          <cell r="B39" t="str">
            <v>SQFMD-0544</v>
          </cell>
          <cell r="C39" t="str">
            <v>Md. Nazmul Haque</v>
          </cell>
          <cell r="D39" t="str">
            <v>Sr. Territory Sales officer</v>
          </cell>
          <cell r="E39" t="str">
            <v>S&amp;M</v>
          </cell>
          <cell r="F39">
            <v>44625</v>
          </cell>
          <cell r="G39">
            <v>31</v>
          </cell>
          <cell r="H39">
            <v>2</v>
          </cell>
          <cell r="I39">
            <v>5</v>
          </cell>
          <cell r="J39">
            <v>2</v>
          </cell>
          <cell r="K39">
            <v>22</v>
          </cell>
          <cell r="L39"/>
        </row>
        <row r="40">
          <cell r="B40" t="str">
            <v>SQFMD-0547</v>
          </cell>
          <cell r="C40" t="str">
            <v>Md. Shakibul Hasan Sharif</v>
          </cell>
          <cell r="D40" t="str">
            <v>Territory Sales officer</v>
          </cell>
          <cell r="E40" t="str">
            <v>S&amp;M</v>
          </cell>
          <cell r="F40">
            <v>44635</v>
          </cell>
          <cell r="G40">
            <v>31</v>
          </cell>
          <cell r="H40">
            <v>0</v>
          </cell>
          <cell r="I40">
            <v>5</v>
          </cell>
          <cell r="J40">
            <v>2</v>
          </cell>
          <cell r="K40">
            <v>24</v>
          </cell>
          <cell r="L40"/>
        </row>
        <row r="41">
          <cell r="B41" t="str">
            <v>SQFMD-0548</v>
          </cell>
          <cell r="C41" t="str">
            <v>Md. Sabbir Ahmed</v>
          </cell>
          <cell r="D41" t="str">
            <v>Sr. Terrtory Manager</v>
          </cell>
          <cell r="E41" t="str">
            <v>S&amp;M</v>
          </cell>
          <cell r="F41">
            <v>44640</v>
          </cell>
          <cell r="G41">
            <v>31</v>
          </cell>
          <cell r="H41">
            <v>9</v>
          </cell>
          <cell r="I41">
            <v>5</v>
          </cell>
          <cell r="J41">
            <v>2</v>
          </cell>
          <cell r="K41">
            <v>15</v>
          </cell>
          <cell r="L41"/>
        </row>
        <row r="42">
          <cell r="B42" t="str">
            <v>SQFMD-0549</v>
          </cell>
          <cell r="C42" t="str">
            <v>Md. Manjurul Haque</v>
          </cell>
          <cell r="D42" t="str">
            <v>Territory Sales officer</v>
          </cell>
          <cell r="E42" t="str">
            <v>S&amp;M</v>
          </cell>
          <cell r="F42">
            <v>44635</v>
          </cell>
          <cell r="G42">
            <v>31</v>
          </cell>
          <cell r="H42">
            <v>0</v>
          </cell>
          <cell r="I42">
            <v>5</v>
          </cell>
          <cell r="J42">
            <v>2</v>
          </cell>
          <cell r="K42">
            <v>24</v>
          </cell>
          <cell r="L42"/>
        </row>
        <row r="43">
          <cell r="B43" t="str">
            <v>SQFMD-0551</v>
          </cell>
          <cell r="C43" t="str">
            <v>Shahadat Hossain</v>
          </cell>
          <cell r="D43" t="str">
            <v>Territory Sales officer</v>
          </cell>
          <cell r="E43" t="str">
            <v>S&amp;M</v>
          </cell>
          <cell r="F43">
            <v>44653</v>
          </cell>
          <cell r="G43">
            <v>31</v>
          </cell>
          <cell r="H43">
            <v>0</v>
          </cell>
          <cell r="I43">
            <v>5</v>
          </cell>
          <cell r="J43">
            <v>2</v>
          </cell>
          <cell r="K43">
            <v>24</v>
          </cell>
          <cell r="L43"/>
        </row>
        <row r="44">
          <cell r="B44" t="str">
            <v>SQFMD-0552</v>
          </cell>
          <cell r="C44" t="str">
            <v>Shafiul Kamal</v>
          </cell>
          <cell r="D44" t="str">
            <v>Assistant Regional Manager</v>
          </cell>
          <cell r="E44" t="str">
            <v>S&amp;M</v>
          </cell>
          <cell r="F44">
            <v>44641</v>
          </cell>
          <cell r="G44">
            <v>31</v>
          </cell>
          <cell r="H44">
            <v>0</v>
          </cell>
          <cell r="I44">
            <v>5</v>
          </cell>
          <cell r="J44">
            <v>2</v>
          </cell>
          <cell r="K44">
            <v>24</v>
          </cell>
          <cell r="L44"/>
        </row>
        <row r="45">
          <cell r="B45" t="str">
            <v>SQFMD-0553</v>
          </cell>
          <cell r="C45" t="str">
            <v>Mamun Chowdhury</v>
          </cell>
          <cell r="D45" t="str">
            <v>Territory Sales officer(Stemz)</v>
          </cell>
          <cell r="E45" t="str">
            <v>S&amp;M</v>
          </cell>
          <cell r="F45">
            <v>44625</v>
          </cell>
          <cell r="G45">
            <v>31</v>
          </cell>
          <cell r="H45">
            <v>0</v>
          </cell>
          <cell r="I45">
            <v>5</v>
          </cell>
          <cell r="J45">
            <v>2</v>
          </cell>
          <cell r="K45">
            <v>24</v>
          </cell>
          <cell r="L45">
            <v>6</v>
          </cell>
        </row>
        <row r="46">
          <cell r="B46" t="str">
            <v>SQFMD-0561</v>
          </cell>
          <cell r="C46" t="str">
            <v>Rajha Ch. Datta</v>
          </cell>
          <cell r="D46" t="str">
            <v>Store Officer</v>
          </cell>
          <cell r="E46" t="str">
            <v>Store &amp; Logistics</v>
          </cell>
          <cell r="F46">
            <v>44634</v>
          </cell>
          <cell r="G46">
            <v>31</v>
          </cell>
          <cell r="H46">
            <v>0</v>
          </cell>
          <cell r="I46">
            <v>5</v>
          </cell>
          <cell r="J46">
            <v>2</v>
          </cell>
          <cell r="K46">
            <v>24</v>
          </cell>
          <cell r="L46"/>
        </row>
        <row r="47">
          <cell r="B47" t="str">
            <v>SQFMD-0562</v>
          </cell>
          <cell r="C47" t="str">
            <v>Md. Kaiser Ferdous</v>
          </cell>
          <cell r="D47" t="str">
            <v>Sr. Service Coordinator</v>
          </cell>
          <cell r="E47" t="str">
            <v>Technical</v>
          </cell>
          <cell r="F47">
            <v>44643</v>
          </cell>
          <cell r="G47">
            <v>31</v>
          </cell>
          <cell r="H47">
            <v>0</v>
          </cell>
          <cell r="I47">
            <v>5</v>
          </cell>
          <cell r="J47">
            <v>2</v>
          </cell>
          <cell r="K47">
            <v>24</v>
          </cell>
          <cell r="L47"/>
        </row>
        <row r="48">
          <cell r="B48" t="str">
            <v>SQFMD-0563</v>
          </cell>
          <cell r="C48" t="str">
            <v>Md. Raja Babu</v>
          </cell>
          <cell r="D48" t="str">
            <v>Mechanic</v>
          </cell>
          <cell r="E48" t="str">
            <v>Technical</v>
          </cell>
          <cell r="F48">
            <v>44640</v>
          </cell>
          <cell r="G48">
            <v>31</v>
          </cell>
          <cell r="H48">
            <v>0</v>
          </cell>
          <cell r="I48">
            <v>5</v>
          </cell>
          <cell r="J48">
            <v>2</v>
          </cell>
          <cell r="K48">
            <v>24</v>
          </cell>
          <cell r="L48"/>
        </row>
        <row r="49">
          <cell r="B49" t="str">
            <v>SQFMD-0564</v>
          </cell>
          <cell r="C49" t="str">
            <v>Md. Mehedi Hasan</v>
          </cell>
          <cell r="D49" t="str">
            <v>Office Assistant</v>
          </cell>
          <cell r="E49" t="str">
            <v>Admin</v>
          </cell>
          <cell r="F49">
            <v>44634</v>
          </cell>
          <cell r="G49">
            <v>31</v>
          </cell>
          <cell r="H49">
            <v>0</v>
          </cell>
          <cell r="I49">
            <v>5</v>
          </cell>
          <cell r="J49">
            <v>2</v>
          </cell>
          <cell r="K49">
            <v>24</v>
          </cell>
          <cell r="L49"/>
        </row>
        <row r="50">
          <cell r="B50" t="str">
            <v>SQFMD-0565</v>
          </cell>
          <cell r="C50" t="str">
            <v>Md. Robiul Alam Rahin</v>
          </cell>
          <cell r="D50" t="str">
            <v>Office Assistant</v>
          </cell>
          <cell r="E50" t="str">
            <v>Admin</v>
          </cell>
          <cell r="F50">
            <v>44593</v>
          </cell>
          <cell r="G50">
            <v>31</v>
          </cell>
          <cell r="H50">
            <v>9</v>
          </cell>
          <cell r="I50">
            <v>5</v>
          </cell>
          <cell r="J50">
            <v>2</v>
          </cell>
          <cell r="K50">
            <v>15</v>
          </cell>
          <cell r="L50"/>
        </row>
        <row r="51">
          <cell r="B51" t="str">
            <v>SQFMD-0566</v>
          </cell>
          <cell r="C51" t="str">
            <v>Md. Ramjan Ali</v>
          </cell>
          <cell r="D51" t="str">
            <v>Driver</v>
          </cell>
          <cell r="E51" t="str">
            <v>Transport</v>
          </cell>
          <cell r="F51">
            <v>44571</v>
          </cell>
          <cell r="G51">
            <v>31</v>
          </cell>
          <cell r="H51">
            <v>0</v>
          </cell>
          <cell r="I51">
            <v>5</v>
          </cell>
          <cell r="J51">
            <v>2</v>
          </cell>
          <cell r="K51">
            <v>24</v>
          </cell>
          <cell r="L51"/>
        </row>
        <row r="52">
          <cell r="B52" t="str">
            <v>SQFMD-0567</v>
          </cell>
          <cell r="C52" t="str">
            <v>Md. Shahjahan Ali</v>
          </cell>
          <cell r="D52" t="str">
            <v>Driver</v>
          </cell>
          <cell r="E52" t="str">
            <v>Transport</v>
          </cell>
          <cell r="F52">
            <v>44583</v>
          </cell>
          <cell r="G52">
            <v>31</v>
          </cell>
          <cell r="H52">
            <v>0</v>
          </cell>
          <cell r="I52">
            <v>5</v>
          </cell>
          <cell r="J52">
            <v>2</v>
          </cell>
          <cell r="K52">
            <v>24</v>
          </cell>
          <cell r="L52"/>
        </row>
        <row r="53">
          <cell r="B53" t="str">
            <v>SQFMD-0570</v>
          </cell>
          <cell r="C53" t="str">
            <v>Md. Shiful Islam</v>
          </cell>
          <cell r="D53" t="str">
            <v>Asst. Territory Manager</v>
          </cell>
          <cell r="E53" t="str">
            <v>Pesticide &amp; Fertilizer</v>
          </cell>
          <cell r="F53">
            <v>44667</v>
          </cell>
          <cell r="G53">
            <v>31</v>
          </cell>
          <cell r="H53">
            <v>0</v>
          </cell>
          <cell r="I53">
            <v>5</v>
          </cell>
          <cell r="J53">
            <v>2</v>
          </cell>
          <cell r="K53">
            <v>24</v>
          </cell>
          <cell r="L53"/>
        </row>
        <row r="54">
          <cell r="B54" t="str">
            <v>SQFMD-0572</v>
          </cell>
          <cell r="C54" t="str">
            <v>Nurun Nahar Nipa</v>
          </cell>
          <cell r="D54" t="str">
            <v>Executive (F&amp;A)</v>
          </cell>
          <cell r="E54" t="str">
            <v>Finance &amp; Accounts</v>
          </cell>
          <cell r="F54">
            <v>44604</v>
          </cell>
          <cell r="G54">
            <v>31</v>
          </cell>
          <cell r="H54">
            <v>0</v>
          </cell>
          <cell r="I54">
            <v>5</v>
          </cell>
          <cell r="J54">
            <v>2</v>
          </cell>
          <cell r="K54">
            <v>24</v>
          </cell>
          <cell r="L54"/>
        </row>
        <row r="55">
          <cell r="B55" t="str">
            <v>SQFMD-0573</v>
          </cell>
          <cell r="C55" t="str">
            <v>Sujal Chandra Mahanta</v>
          </cell>
          <cell r="D55" t="str">
            <v>Store Officer</v>
          </cell>
          <cell r="E55" t="str">
            <v>Store &amp; Logistics</v>
          </cell>
          <cell r="F55">
            <v>44674</v>
          </cell>
          <cell r="G55">
            <v>31</v>
          </cell>
          <cell r="H55">
            <v>0</v>
          </cell>
          <cell r="I55">
            <v>5</v>
          </cell>
          <cell r="J55">
            <v>2</v>
          </cell>
          <cell r="K55">
            <v>24</v>
          </cell>
          <cell r="L55"/>
        </row>
        <row r="56">
          <cell r="B56" t="str">
            <v>SQFMD-0574</v>
          </cell>
          <cell r="C56" t="str">
            <v>Md. Sabbir Hossen</v>
          </cell>
          <cell r="D56" t="str">
            <v>Store Officer</v>
          </cell>
          <cell r="E56" t="str">
            <v>Store &amp; Logistics</v>
          </cell>
          <cell r="F56">
            <v>44650</v>
          </cell>
          <cell r="G56">
            <v>31</v>
          </cell>
          <cell r="H56">
            <v>0</v>
          </cell>
          <cell r="I56">
            <v>5</v>
          </cell>
          <cell r="J56">
            <v>2</v>
          </cell>
          <cell r="K56">
            <v>24</v>
          </cell>
          <cell r="L56"/>
        </row>
        <row r="57">
          <cell r="B57" t="str">
            <v>SQFMD-0576</v>
          </cell>
          <cell r="C57" t="str">
            <v>Md. Jamal Hossain</v>
          </cell>
          <cell r="D57" t="str">
            <v>Store Officer</v>
          </cell>
          <cell r="E57" t="str">
            <v>Store &amp; Logistics</v>
          </cell>
          <cell r="F57">
            <v>44653</v>
          </cell>
          <cell r="G57">
            <v>31</v>
          </cell>
          <cell r="H57">
            <v>0</v>
          </cell>
          <cell r="I57">
            <v>5</v>
          </cell>
          <cell r="J57">
            <v>2</v>
          </cell>
          <cell r="K57">
            <v>24</v>
          </cell>
          <cell r="L57"/>
        </row>
        <row r="58">
          <cell r="B58" t="str">
            <v>SQFMD-0577</v>
          </cell>
          <cell r="C58" t="str">
            <v>Md. Rashedul Islam</v>
          </cell>
          <cell r="D58" t="str">
            <v>Sr. Store Officer</v>
          </cell>
          <cell r="E58" t="str">
            <v>Store &amp; Logistics</v>
          </cell>
          <cell r="F58">
            <v>44661</v>
          </cell>
          <cell r="G58">
            <v>31</v>
          </cell>
          <cell r="H58">
            <v>0</v>
          </cell>
          <cell r="I58">
            <v>5</v>
          </cell>
          <cell r="J58">
            <v>2</v>
          </cell>
          <cell r="K58">
            <v>24</v>
          </cell>
          <cell r="L58"/>
        </row>
        <row r="59">
          <cell r="B59" t="str">
            <v>SQFMD-0578</v>
          </cell>
          <cell r="C59" t="str">
            <v>Sohidullah</v>
          </cell>
          <cell r="D59" t="str">
            <v>Sr. Manager</v>
          </cell>
          <cell r="E59" t="str">
            <v>Technical</v>
          </cell>
          <cell r="F59">
            <v>44665</v>
          </cell>
          <cell r="G59">
            <v>31</v>
          </cell>
          <cell r="H59">
            <v>0</v>
          </cell>
          <cell r="I59">
            <v>5</v>
          </cell>
          <cell r="J59">
            <v>2</v>
          </cell>
          <cell r="K59">
            <v>24</v>
          </cell>
          <cell r="L59"/>
        </row>
        <row r="60">
          <cell r="B60" t="str">
            <v>SQFMD-0581</v>
          </cell>
          <cell r="C60" t="str">
            <v>Md. Bellal Hossain</v>
          </cell>
          <cell r="D60" t="str">
            <v>Mechanic</v>
          </cell>
          <cell r="E60" t="str">
            <v>Technical</v>
          </cell>
          <cell r="F60">
            <v>44650</v>
          </cell>
          <cell r="G60">
            <v>31</v>
          </cell>
          <cell r="H60">
            <v>0</v>
          </cell>
          <cell r="I60">
            <v>5</v>
          </cell>
          <cell r="J60">
            <v>2</v>
          </cell>
          <cell r="K60">
            <v>24</v>
          </cell>
          <cell r="L60"/>
        </row>
        <row r="61">
          <cell r="B61" t="str">
            <v>SQFMD-0583</v>
          </cell>
          <cell r="C61" t="str">
            <v>Md. Rayhan Ali</v>
          </cell>
          <cell r="D61" t="str">
            <v>Jr. Mechanic</v>
          </cell>
          <cell r="E61" t="str">
            <v>Technical</v>
          </cell>
          <cell r="F61">
            <v>44656</v>
          </cell>
          <cell r="G61">
            <v>31</v>
          </cell>
          <cell r="H61">
            <v>0</v>
          </cell>
          <cell r="I61">
            <v>5</v>
          </cell>
          <cell r="J61">
            <v>2</v>
          </cell>
          <cell r="K61">
            <v>24</v>
          </cell>
          <cell r="L61"/>
        </row>
        <row r="62">
          <cell r="B62" t="str">
            <v>SQFMD-0584</v>
          </cell>
          <cell r="C62" t="str">
            <v>Md. Ismail Hossain</v>
          </cell>
          <cell r="D62" t="str">
            <v>Jr. Mechanic</v>
          </cell>
          <cell r="E62" t="str">
            <v>Technical</v>
          </cell>
          <cell r="F62">
            <v>44655</v>
          </cell>
          <cell r="G62">
            <v>31</v>
          </cell>
          <cell r="H62">
            <v>0</v>
          </cell>
          <cell r="I62">
            <v>5</v>
          </cell>
          <cell r="J62">
            <v>2</v>
          </cell>
          <cell r="K62">
            <v>24</v>
          </cell>
          <cell r="L62"/>
        </row>
        <row r="63">
          <cell r="B63" t="str">
            <v>SQFMD-0586</v>
          </cell>
          <cell r="C63" t="str">
            <v>Md. Imran Hosen</v>
          </cell>
          <cell r="D63" t="str">
            <v>Jr. Mechanic</v>
          </cell>
          <cell r="E63" t="str">
            <v>Technical</v>
          </cell>
          <cell r="F63">
            <v>44655</v>
          </cell>
          <cell r="G63">
            <v>31</v>
          </cell>
          <cell r="H63">
            <v>1</v>
          </cell>
          <cell r="I63">
            <v>5</v>
          </cell>
          <cell r="J63">
            <v>2</v>
          </cell>
          <cell r="K63">
            <v>23</v>
          </cell>
          <cell r="L63"/>
        </row>
        <row r="64">
          <cell r="B64" t="str">
            <v>SQFMD-0588</v>
          </cell>
          <cell r="C64" t="str">
            <v>Md. Yeasin Ali</v>
          </cell>
          <cell r="D64" t="str">
            <v>Jr. Mechanic</v>
          </cell>
          <cell r="E64" t="str">
            <v>Technical</v>
          </cell>
          <cell r="F64">
            <v>44655</v>
          </cell>
          <cell r="G64">
            <v>31</v>
          </cell>
          <cell r="H64">
            <v>0</v>
          </cell>
          <cell r="I64">
            <v>5</v>
          </cell>
          <cell r="J64">
            <v>2</v>
          </cell>
          <cell r="K64">
            <v>24</v>
          </cell>
          <cell r="L64"/>
        </row>
        <row r="65">
          <cell r="B65" t="str">
            <v>SQFMD-0591</v>
          </cell>
          <cell r="C65" t="str">
            <v>Aklas Ahmed</v>
          </cell>
          <cell r="D65" t="str">
            <v>Mechanic</v>
          </cell>
          <cell r="E65" t="str">
            <v>Technical</v>
          </cell>
          <cell r="F65">
            <v>44658</v>
          </cell>
          <cell r="G65">
            <v>31</v>
          </cell>
          <cell r="H65">
            <v>0</v>
          </cell>
          <cell r="I65">
            <v>5</v>
          </cell>
          <cell r="J65">
            <v>2</v>
          </cell>
          <cell r="K65">
            <v>24</v>
          </cell>
          <cell r="L65"/>
        </row>
        <row r="66">
          <cell r="B66" t="str">
            <v>SQFMD-0596</v>
          </cell>
          <cell r="C66" t="str">
            <v>Sohel Rana</v>
          </cell>
          <cell r="D66" t="str">
            <v>Office Assistant</v>
          </cell>
          <cell r="E66" t="str">
            <v>Admin</v>
          </cell>
          <cell r="F66">
            <v>44593</v>
          </cell>
          <cell r="G66">
            <v>31</v>
          </cell>
          <cell r="H66">
            <v>0</v>
          </cell>
          <cell r="I66">
            <v>5</v>
          </cell>
          <cell r="J66">
            <v>2</v>
          </cell>
          <cell r="K66">
            <v>24</v>
          </cell>
          <cell r="L66"/>
        </row>
        <row r="67">
          <cell r="B67" t="str">
            <v>SQFMD-0597</v>
          </cell>
          <cell r="C67" t="str">
            <v>Md. Jahangir Kabir</v>
          </cell>
          <cell r="D67" t="str">
            <v>Assistant General Manager</v>
          </cell>
          <cell r="E67" t="str">
            <v>CRRM</v>
          </cell>
          <cell r="F67">
            <v>44652</v>
          </cell>
          <cell r="G67">
            <v>31</v>
          </cell>
          <cell r="H67">
            <v>0</v>
          </cell>
          <cell r="I67">
            <v>5</v>
          </cell>
          <cell r="J67">
            <v>2</v>
          </cell>
          <cell r="K67">
            <v>24</v>
          </cell>
          <cell r="L67"/>
        </row>
        <row r="68">
          <cell r="B68" t="str">
            <v>SQFMD-0599</v>
          </cell>
          <cell r="C68" t="str">
            <v>Md. Jahidul Islam</v>
          </cell>
          <cell r="D68" t="str">
            <v>Driver</v>
          </cell>
          <cell r="E68" t="str">
            <v>Transport</v>
          </cell>
          <cell r="F68">
            <v>44667</v>
          </cell>
          <cell r="G68">
            <v>31</v>
          </cell>
          <cell r="H68">
            <v>3</v>
          </cell>
          <cell r="I68">
            <v>5</v>
          </cell>
          <cell r="J68">
            <v>2</v>
          </cell>
          <cell r="K68">
            <v>21</v>
          </cell>
          <cell r="L68"/>
        </row>
        <row r="69">
          <cell r="B69" t="str">
            <v>SQFMD-0600</v>
          </cell>
          <cell r="C69" t="str">
            <v>Md. Hafizur Rahman</v>
          </cell>
          <cell r="D69" t="str">
            <v>Driver</v>
          </cell>
          <cell r="E69" t="str">
            <v>Transport</v>
          </cell>
          <cell r="F69">
            <v>44663</v>
          </cell>
          <cell r="G69">
            <v>31</v>
          </cell>
          <cell r="H69">
            <v>0</v>
          </cell>
          <cell r="I69">
            <v>5</v>
          </cell>
          <cell r="J69">
            <v>2</v>
          </cell>
          <cell r="K69">
            <v>24</v>
          </cell>
          <cell r="L69"/>
        </row>
        <row r="70">
          <cell r="B70" t="str">
            <v>SQFMD-0601</v>
          </cell>
          <cell r="C70" t="str">
            <v>Md. Saiful Islam</v>
          </cell>
          <cell r="D70" t="str">
            <v>Accountant</v>
          </cell>
          <cell r="E70" t="str">
            <v>Finance &amp; Accounts</v>
          </cell>
          <cell r="F70">
            <v>44661</v>
          </cell>
          <cell r="G70">
            <v>31</v>
          </cell>
          <cell r="H70">
            <v>0</v>
          </cell>
          <cell r="I70">
            <v>5</v>
          </cell>
          <cell r="J70">
            <v>2</v>
          </cell>
          <cell r="K70">
            <v>24</v>
          </cell>
          <cell r="L70"/>
        </row>
        <row r="71">
          <cell r="B71" t="str">
            <v>SQFMD-0602</v>
          </cell>
          <cell r="C71" t="str">
            <v>Md. Rakib Uddin</v>
          </cell>
          <cell r="D71" t="str">
            <v>Mechanic</v>
          </cell>
          <cell r="E71" t="str">
            <v>Technical</v>
          </cell>
          <cell r="F71">
            <v>44669</v>
          </cell>
          <cell r="G71">
            <v>31</v>
          </cell>
          <cell r="H71">
            <v>0</v>
          </cell>
          <cell r="I71">
            <v>5</v>
          </cell>
          <cell r="J71">
            <v>2</v>
          </cell>
          <cell r="K71">
            <v>24</v>
          </cell>
          <cell r="L71"/>
        </row>
        <row r="72">
          <cell r="B72" t="str">
            <v>SQFMD-0604</v>
          </cell>
          <cell r="C72" t="str">
            <v>Md. Sabbir Hossen Ripon</v>
          </cell>
          <cell r="D72" t="str">
            <v>Jr. Mechanic</v>
          </cell>
          <cell r="E72" t="str">
            <v>Technical</v>
          </cell>
          <cell r="F72">
            <v>44673</v>
          </cell>
          <cell r="G72">
            <v>31</v>
          </cell>
          <cell r="H72">
            <v>0</v>
          </cell>
          <cell r="I72">
            <v>5</v>
          </cell>
          <cell r="J72">
            <v>2</v>
          </cell>
          <cell r="K72">
            <v>24</v>
          </cell>
          <cell r="L72"/>
        </row>
        <row r="73">
          <cell r="B73" t="str">
            <v>SQFMD-0606</v>
          </cell>
          <cell r="C73" t="str">
            <v>Md. Sahalom</v>
          </cell>
          <cell r="D73" t="str">
            <v>Office Assistant</v>
          </cell>
          <cell r="E73" t="str">
            <v>Admin</v>
          </cell>
          <cell r="F73">
            <v>44675</v>
          </cell>
          <cell r="G73">
            <v>31</v>
          </cell>
          <cell r="H73">
            <v>0</v>
          </cell>
          <cell r="I73">
            <v>5</v>
          </cell>
          <cell r="J73">
            <v>2</v>
          </cell>
          <cell r="K73">
            <v>24</v>
          </cell>
          <cell r="L73"/>
        </row>
        <row r="74">
          <cell r="B74" t="str">
            <v>SQFMD-0607</v>
          </cell>
          <cell r="C74" t="str">
            <v>Nasiruddin Sohel</v>
          </cell>
          <cell r="D74" t="str">
            <v>Deputy Regional Manager</v>
          </cell>
          <cell r="E74" t="str">
            <v>S&amp;M</v>
          </cell>
          <cell r="F74">
            <v>44692</v>
          </cell>
          <cell r="G74">
            <v>31</v>
          </cell>
          <cell r="H74">
            <v>0</v>
          </cell>
          <cell r="I74">
            <v>5</v>
          </cell>
          <cell r="J74">
            <v>2</v>
          </cell>
          <cell r="K74">
            <v>24</v>
          </cell>
          <cell r="L74"/>
        </row>
        <row r="75">
          <cell r="B75" t="str">
            <v>SQFMD-0608</v>
          </cell>
          <cell r="C75" t="str">
            <v>Mohammad Ali Mollah</v>
          </cell>
          <cell r="D75" t="str">
            <v>Sr. Service Engineer</v>
          </cell>
          <cell r="E75" t="str">
            <v>Technical</v>
          </cell>
          <cell r="F75">
            <v>44695</v>
          </cell>
          <cell r="G75">
            <v>31</v>
          </cell>
          <cell r="H75">
            <v>1</v>
          </cell>
          <cell r="I75">
            <v>5</v>
          </cell>
          <cell r="J75">
            <v>2</v>
          </cell>
          <cell r="K75">
            <v>23</v>
          </cell>
          <cell r="L75"/>
        </row>
        <row r="76">
          <cell r="B76" t="str">
            <v>SQFMD-0609</v>
          </cell>
          <cell r="C76" t="str">
            <v>Apon Chondro Roy</v>
          </cell>
          <cell r="D76" t="str">
            <v>Mechanic</v>
          </cell>
          <cell r="E76" t="str">
            <v>Technical</v>
          </cell>
          <cell r="F76">
            <v>44691</v>
          </cell>
          <cell r="G76">
            <v>31</v>
          </cell>
          <cell r="H76">
            <v>0</v>
          </cell>
          <cell r="I76">
            <v>5</v>
          </cell>
          <cell r="J76">
            <v>2</v>
          </cell>
          <cell r="K76">
            <v>24</v>
          </cell>
          <cell r="L76">
            <v>16</v>
          </cell>
        </row>
        <row r="77">
          <cell r="B77" t="str">
            <v>SQFMD-0612</v>
          </cell>
          <cell r="C77" t="str">
            <v>Md. Motiur Rahman</v>
          </cell>
          <cell r="D77" t="str">
            <v>Mechanic</v>
          </cell>
          <cell r="E77" t="str">
            <v>Technical</v>
          </cell>
          <cell r="F77">
            <v>44696</v>
          </cell>
          <cell r="G77">
            <v>31</v>
          </cell>
          <cell r="H77">
            <v>0</v>
          </cell>
          <cell r="I77">
            <v>5</v>
          </cell>
          <cell r="J77">
            <v>2</v>
          </cell>
          <cell r="K77">
            <v>24</v>
          </cell>
          <cell r="L77"/>
        </row>
        <row r="78">
          <cell r="B78" t="str">
            <v>SQFMD-0613</v>
          </cell>
          <cell r="C78" t="str">
            <v>Abdul Wadud</v>
          </cell>
          <cell r="D78" t="str">
            <v>Asst. Mechanic</v>
          </cell>
          <cell r="E78" t="str">
            <v>Technical</v>
          </cell>
          <cell r="F78">
            <v>44700</v>
          </cell>
          <cell r="G78">
            <v>31</v>
          </cell>
          <cell r="H78">
            <v>2</v>
          </cell>
          <cell r="I78">
            <v>5</v>
          </cell>
          <cell r="J78">
            <v>2</v>
          </cell>
          <cell r="K78">
            <v>22</v>
          </cell>
          <cell r="L78"/>
        </row>
        <row r="79">
          <cell r="B79" t="str">
            <v>SQFMD-0614</v>
          </cell>
          <cell r="C79" t="str">
            <v>Shamim Akter Akash</v>
          </cell>
          <cell r="D79" t="str">
            <v>Mechanic</v>
          </cell>
          <cell r="E79" t="str">
            <v>Technical</v>
          </cell>
          <cell r="F79">
            <v>44687</v>
          </cell>
          <cell r="G79">
            <v>31</v>
          </cell>
          <cell r="H79">
            <v>0</v>
          </cell>
          <cell r="I79">
            <v>5</v>
          </cell>
          <cell r="J79">
            <v>2</v>
          </cell>
          <cell r="K79">
            <v>24</v>
          </cell>
          <cell r="L79"/>
        </row>
        <row r="80">
          <cell r="B80" t="str">
            <v>SQFMD-0615</v>
          </cell>
          <cell r="C80" t="str">
            <v>Md. Atoar Rahman</v>
          </cell>
          <cell r="D80" t="str">
            <v>DRM (Sales &amp; Recovery)</v>
          </cell>
          <cell r="E80" t="str">
            <v>CRRM</v>
          </cell>
          <cell r="F80">
            <v>44714</v>
          </cell>
          <cell r="G80">
            <v>31</v>
          </cell>
          <cell r="H80">
            <v>0</v>
          </cell>
          <cell r="I80">
            <v>5</v>
          </cell>
          <cell r="J80">
            <v>2</v>
          </cell>
          <cell r="K80">
            <v>24</v>
          </cell>
          <cell r="L80"/>
        </row>
        <row r="81">
          <cell r="B81" t="str">
            <v>SQFMD-0616</v>
          </cell>
          <cell r="C81" t="str">
            <v>Md. Abdullah Al Atick</v>
          </cell>
          <cell r="D81" t="str">
            <v>Deputy Regional Manager</v>
          </cell>
          <cell r="E81" t="str">
            <v>CRRM</v>
          </cell>
          <cell r="F81">
            <v>44716</v>
          </cell>
          <cell r="G81">
            <v>31</v>
          </cell>
          <cell r="H81">
            <v>0</v>
          </cell>
          <cell r="I81">
            <v>5</v>
          </cell>
          <cell r="J81">
            <v>2</v>
          </cell>
          <cell r="K81">
            <v>24</v>
          </cell>
          <cell r="L81"/>
        </row>
        <row r="82">
          <cell r="B82" t="str">
            <v>SQFMD-0617</v>
          </cell>
          <cell r="C82" t="str">
            <v>Md. Abdullah Al Mamun</v>
          </cell>
          <cell r="D82" t="str">
            <v>Assistant Manager</v>
          </cell>
          <cell r="E82" t="str">
            <v>Finance &amp; Accounts</v>
          </cell>
          <cell r="F82">
            <v>44713</v>
          </cell>
          <cell r="G82">
            <v>31</v>
          </cell>
          <cell r="H82">
            <v>0</v>
          </cell>
          <cell r="I82">
            <v>5</v>
          </cell>
          <cell r="J82">
            <v>2</v>
          </cell>
          <cell r="K82">
            <v>24</v>
          </cell>
          <cell r="L82"/>
        </row>
        <row r="83">
          <cell r="B83" t="str">
            <v>SQFMD-0620</v>
          </cell>
          <cell r="C83" t="str">
            <v>Farhin Tajrin</v>
          </cell>
          <cell r="D83" t="str">
            <v>Management Trainee</v>
          </cell>
          <cell r="E83" t="str">
            <v>Audit &amp; Monitoring</v>
          </cell>
          <cell r="F83">
            <v>44713</v>
          </cell>
          <cell r="G83">
            <v>31</v>
          </cell>
          <cell r="H83">
            <v>0</v>
          </cell>
          <cell r="I83">
            <v>5</v>
          </cell>
          <cell r="J83">
            <v>2</v>
          </cell>
          <cell r="K83">
            <v>24</v>
          </cell>
          <cell r="L83"/>
        </row>
        <row r="84">
          <cell r="B84" t="str">
            <v>SQFMD-0621</v>
          </cell>
          <cell r="C84" t="str">
            <v>Md. Mannan Miah</v>
          </cell>
          <cell r="D84" t="str">
            <v>Mechanic</v>
          </cell>
          <cell r="E84" t="str">
            <v>Technical</v>
          </cell>
          <cell r="F84">
            <v>44694</v>
          </cell>
          <cell r="G84">
            <v>31</v>
          </cell>
          <cell r="H84">
            <v>0</v>
          </cell>
          <cell r="I84">
            <v>5</v>
          </cell>
          <cell r="J84">
            <v>2</v>
          </cell>
          <cell r="K84">
            <v>24</v>
          </cell>
          <cell r="L84"/>
        </row>
        <row r="85">
          <cell r="B85" t="str">
            <v>SQFMD-0624</v>
          </cell>
          <cell r="C85" t="str">
            <v>Md. Robiullah</v>
          </cell>
          <cell r="D85" t="str">
            <v>Store Worker</v>
          </cell>
          <cell r="E85" t="str">
            <v>Store &amp; Logistics</v>
          </cell>
          <cell r="F85">
            <v>44698</v>
          </cell>
          <cell r="G85">
            <v>31</v>
          </cell>
          <cell r="H85">
            <v>0</v>
          </cell>
          <cell r="I85">
            <v>5</v>
          </cell>
          <cell r="J85">
            <v>2</v>
          </cell>
          <cell r="K85">
            <v>24</v>
          </cell>
          <cell r="L85"/>
        </row>
        <row r="86">
          <cell r="B86" t="str">
            <v>SQFMD-0626</v>
          </cell>
          <cell r="C86" t="str">
            <v>Samiul Hassan</v>
          </cell>
          <cell r="D86" t="str">
            <v>Asst. Manager</v>
          </cell>
          <cell r="E86" t="str">
            <v>Store &amp; Logistics</v>
          </cell>
          <cell r="F86">
            <v>44714</v>
          </cell>
          <cell r="G86">
            <v>31</v>
          </cell>
          <cell r="H86">
            <v>0</v>
          </cell>
          <cell r="I86">
            <v>5</v>
          </cell>
          <cell r="J86">
            <v>2</v>
          </cell>
          <cell r="K86">
            <v>24</v>
          </cell>
          <cell r="L86"/>
        </row>
        <row r="87">
          <cell r="B87" t="str">
            <v>SQFMD-0628</v>
          </cell>
          <cell r="C87" t="str">
            <v>Md. Shaon Ali</v>
          </cell>
          <cell r="D87" t="str">
            <v>Jr. Mechanic</v>
          </cell>
          <cell r="E87" t="str">
            <v>Technical</v>
          </cell>
          <cell r="F87">
            <v>44713</v>
          </cell>
          <cell r="G87">
            <v>31</v>
          </cell>
          <cell r="H87">
            <v>1</v>
          </cell>
          <cell r="I87">
            <v>5</v>
          </cell>
          <cell r="J87">
            <v>2</v>
          </cell>
          <cell r="K87">
            <v>23</v>
          </cell>
          <cell r="L87"/>
        </row>
        <row r="88">
          <cell r="B88" t="str">
            <v>SQFMD-0629</v>
          </cell>
          <cell r="C88" t="str">
            <v>Md. Insan Ali</v>
          </cell>
          <cell r="D88" t="str">
            <v>Jr. Mechanic</v>
          </cell>
          <cell r="E88" t="str">
            <v>Technical</v>
          </cell>
          <cell r="F88">
            <v>44713</v>
          </cell>
          <cell r="G88">
            <v>31</v>
          </cell>
          <cell r="H88">
            <v>2</v>
          </cell>
          <cell r="I88">
            <v>5</v>
          </cell>
          <cell r="J88">
            <v>2</v>
          </cell>
          <cell r="K88">
            <v>22</v>
          </cell>
          <cell r="L88"/>
        </row>
        <row r="89">
          <cell r="B89" t="str">
            <v>SQFMD-0631</v>
          </cell>
          <cell r="C89" t="str">
            <v>Md. Aktar Hossen</v>
          </cell>
          <cell r="D89" t="str">
            <v>Depot Manager</v>
          </cell>
          <cell r="E89" t="str">
            <v>Pesticide &amp; Fertilizer</v>
          </cell>
          <cell r="F89">
            <v>44744</v>
          </cell>
          <cell r="G89">
            <v>31</v>
          </cell>
          <cell r="H89">
            <v>0</v>
          </cell>
          <cell r="I89">
            <v>5</v>
          </cell>
          <cell r="J89">
            <v>2</v>
          </cell>
          <cell r="K89">
            <v>24</v>
          </cell>
          <cell r="L89"/>
        </row>
        <row r="90">
          <cell r="B90" t="str">
            <v>SQFMD-0632</v>
          </cell>
          <cell r="C90" t="str">
            <v>Md. Ashikur Rahman</v>
          </cell>
          <cell r="D90" t="str">
            <v>Finance officer</v>
          </cell>
          <cell r="E90" t="str">
            <v>Finance &amp; Accounts</v>
          </cell>
          <cell r="F90">
            <v>44744</v>
          </cell>
          <cell r="G90">
            <v>31</v>
          </cell>
          <cell r="H90">
            <v>0</v>
          </cell>
          <cell r="I90">
            <v>5</v>
          </cell>
          <cell r="J90">
            <v>2</v>
          </cell>
          <cell r="K90">
            <v>24</v>
          </cell>
          <cell r="L90"/>
        </row>
        <row r="91">
          <cell r="B91" t="str">
            <v>SQFMD-0634</v>
          </cell>
          <cell r="C91" t="str">
            <v>Md. Shopon Islam</v>
          </cell>
          <cell r="D91" t="str">
            <v>Service Engineer</v>
          </cell>
          <cell r="E91" t="str">
            <v>Technical</v>
          </cell>
          <cell r="F91">
            <v>44759</v>
          </cell>
          <cell r="G91">
            <v>31</v>
          </cell>
          <cell r="H91">
            <v>0</v>
          </cell>
          <cell r="I91">
            <v>5</v>
          </cell>
          <cell r="J91">
            <v>2</v>
          </cell>
          <cell r="K91">
            <v>24</v>
          </cell>
          <cell r="L91"/>
        </row>
        <row r="92">
          <cell r="B92" t="str">
            <v>SQFMD-0635</v>
          </cell>
          <cell r="C92" t="str">
            <v>Md. Nur Amin Arafat</v>
          </cell>
          <cell r="D92" t="str">
            <v>Service Engineer</v>
          </cell>
          <cell r="E92" t="str">
            <v>Technical</v>
          </cell>
          <cell r="F92">
            <v>44762</v>
          </cell>
          <cell r="G92">
            <v>31</v>
          </cell>
          <cell r="H92">
            <v>0</v>
          </cell>
          <cell r="I92">
            <v>5</v>
          </cell>
          <cell r="J92">
            <v>2</v>
          </cell>
          <cell r="K92">
            <v>24</v>
          </cell>
          <cell r="L92"/>
        </row>
        <row r="93">
          <cell r="B93" t="str">
            <v>SQFMD-0636</v>
          </cell>
          <cell r="C93" t="str">
            <v>Mohammad Abul Bashar</v>
          </cell>
          <cell r="D93" t="str">
            <v>Manager</v>
          </cell>
          <cell r="E93" t="str">
            <v>Store &amp; Logistics</v>
          </cell>
          <cell r="F93">
            <v>44774</v>
          </cell>
          <cell r="G93">
            <v>31</v>
          </cell>
          <cell r="H93">
            <v>1</v>
          </cell>
          <cell r="I93">
            <v>5</v>
          </cell>
          <cell r="J93">
            <v>2</v>
          </cell>
          <cell r="K93">
            <v>23</v>
          </cell>
          <cell r="L93"/>
        </row>
        <row r="94">
          <cell r="B94" t="str">
            <v>SQFMD-0637</v>
          </cell>
          <cell r="C94" t="str">
            <v>Md. Monir Hossain</v>
          </cell>
          <cell r="D94" t="str">
            <v>Sr. Executive</v>
          </cell>
          <cell r="E94" t="str">
            <v>Audit &amp; Monitoring</v>
          </cell>
          <cell r="F94">
            <v>44774</v>
          </cell>
          <cell r="G94">
            <v>31</v>
          </cell>
          <cell r="H94">
            <v>0</v>
          </cell>
          <cell r="I94">
            <v>5</v>
          </cell>
          <cell r="J94">
            <v>2</v>
          </cell>
          <cell r="K94">
            <v>24</v>
          </cell>
          <cell r="L94"/>
        </row>
        <row r="95">
          <cell r="B95" t="str">
            <v>SQFMD-0638</v>
          </cell>
          <cell r="C95" t="str">
            <v>Md. Khasru Rikabdaer</v>
          </cell>
          <cell r="D95" t="str">
            <v>Depot Manager</v>
          </cell>
          <cell r="E95" t="str">
            <v>Pesticide &amp; Fertilizer</v>
          </cell>
          <cell r="F95">
            <v>44776</v>
          </cell>
          <cell r="G95">
            <v>31</v>
          </cell>
          <cell r="H95">
            <v>0</v>
          </cell>
          <cell r="I95">
            <v>5</v>
          </cell>
          <cell r="J95">
            <v>2</v>
          </cell>
          <cell r="K95">
            <v>24</v>
          </cell>
          <cell r="L95"/>
        </row>
        <row r="96">
          <cell r="B96" t="str">
            <v>SQFMD-0640</v>
          </cell>
          <cell r="C96" t="str">
            <v>Md. Shohag</v>
          </cell>
          <cell r="D96" t="str">
            <v>Driver</v>
          </cell>
          <cell r="E96" t="str">
            <v>Transport</v>
          </cell>
          <cell r="F96">
            <v>44782</v>
          </cell>
          <cell r="G96">
            <v>31</v>
          </cell>
          <cell r="H96">
            <v>0</v>
          </cell>
          <cell r="I96">
            <v>5</v>
          </cell>
          <cell r="J96">
            <v>2</v>
          </cell>
          <cell r="K96">
            <v>24</v>
          </cell>
          <cell r="L96"/>
        </row>
        <row r="97">
          <cell r="B97" t="str">
            <v>SQFMD-0641</v>
          </cell>
          <cell r="C97" t="str">
            <v>Md. Mahmudul Hasan</v>
          </cell>
          <cell r="D97" t="str">
            <v>Driver</v>
          </cell>
          <cell r="E97" t="str">
            <v>Transport</v>
          </cell>
          <cell r="F97">
            <v>44828</v>
          </cell>
          <cell r="G97">
            <v>31</v>
          </cell>
          <cell r="H97">
            <v>0</v>
          </cell>
          <cell r="I97">
            <v>5</v>
          </cell>
          <cell r="J97">
            <v>2</v>
          </cell>
          <cell r="K97">
            <v>24</v>
          </cell>
          <cell r="L97"/>
        </row>
        <row r="98">
          <cell r="B98" t="str">
            <v>SQFMD-0643</v>
          </cell>
          <cell r="C98" t="str">
            <v>Md. Shawkot Akbar Khan</v>
          </cell>
          <cell r="D98" t="str">
            <v>Officer In Charge</v>
          </cell>
          <cell r="E98" t="str">
            <v>Pesticide &amp; Fertilizer</v>
          </cell>
          <cell r="F98">
            <v>44805</v>
          </cell>
          <cell r="G98">
            <v>31</v>
          </cell>
          <cell r="H98">
            <v>0</v>
          </cell>
          <cell r="I98">
            <v>5</v>
          </cell>
          <cell r="J98">
            <v>2</v>
          </cell>
          <cell r="K98">
            <v>24</v>
          </cell>
          <cell r="L98"/>
        </row>
        <row r="99">
          <cell r="B99" t="str">
            <v>SQFMD-0644</v>
          </cell>
          <cell r="C99" t="str">
            <v>Md. Junaidur Rahman</v>
          </cell>
          <cell r="D99" t="str">
            <v>Asst. Manager</v>
          </cell>
          <cell r="E99" t="str">
            <v>Pesticide &amp; Fertilizer</v>
          </cell>
          <cell r="F99">
            <v>44805</v>
          </cell>
          <cell r="G99">
            <v>31</v>
          </cell>
          <cell r="H99">
            <v>2</v>
          </cell>
          <cell r="I99">
            <v>5</v>
          </cell>
          <cell r="J99">
            <v>2</v>
          </cell>
          <cell r="K99">
            <v>22</v>
          </cell>
          <cell r="L99"/>
        </row>
        <row r="100">
          <cell r="B100" t="str">
            <v>SQFMD-0646</v>
          </cell>
          <cell r="C100" t="str">
            <v>Md. Asiful Islam</v>
          </cell>
          <cell r="D100" t="str">
            <v>Manager</v>
          </cell>
          <cell r="E100" t="str">
            <v>Finance &amp; Accounts</v>
          </cell>
          <cell r="F100">
            <v>44815</v>
          </cell>
          <cell r="G100">
            <v>31</v>
          </cell>
          <cell r="H100">
            <v>0</v>
          </cell>
          <cell r="I100">
            <v>5</v>
          </cell>
          <cell r="J100">
            <v>2</v>
          </cell>
          <cell r="K100">
            <v>24</v>
          </cell>
          <cell r="L100"/>
        </row>
        <row r="101">
          <cell r="B101" t="str">
            <v>SQFMD-0654</v>
          </cell>
          <cell r="C101" t="str">
            <v>Md. Ziaur Rahman Vulu</v>
          </cell>
          <cell r="D101" t="str">
            <v>Territory Service Manager</v>
          </cell>
          <cell r="E101" t="str">
            <v>Technical</v>
          </cell>
          <cell r="F101">
            <v>44828</v>
          </cell>
          <cell r="G101">
            <v>31</v>
          </cell>
          <cell r="H101">
            <v>0</v>
          </cell>
          <cell r="I101">
            <v>5</v>
          </cell>
          <cell r="J101">
            <v>2</v>
          </cell>
          <cell r="K101">
            <v>24</v>
          </cell>
          <cell r="L101"/>
        </row>
        <row r="102">
          <cell r="B102" t="str">
            <v>SQFMD-0655</v>
          </cell>
          <cell r="C102" t="str">
            <v>Hashim Uddin</v>
          </cell>
          <cell r="D102" t="str">
            <v>Jr. Mechanic</v>
          </cell>
          <cell r="E102" t="str">
            <v>Technical</v>
          </cell>
          <cell r="F102">
            <v>44817</v>
          </cell>
          <cell r="G102">
            <v>31</v>
          </cell>
          <cell r="H102">
            <v>0</v>
          </cell>
          <cell r="I102">
            <v>5</v>
          </cell>
          <cell r="J102">
            <v>2</v>
          </cell>
          <cell r="K102">
            <v>24</v>
          </cell>
          <cell r="L102"/>
        </row>
        <row r="103">
          <cell r="B103" t="str">
            <v>SQFMD-0657</v>
          </cell>
          <cell r="C103" t="str">
            <v>Sadeck Ahmed</v>
          </cell>
          <cell r="D103" t="str">
            <v>Jr. Mechanic</v>
          </cell>
          <cell r="E103" t="str">
            <v>Technical</v>
          </cell>
          <cell r="F103">
            <v>44817</v>
          </cell>
          <cell r="G103">
            <v>31</v>
          </cell>
          <cell r="H103">
            <v>0</v>
          </cell>
          <cell r="I103">
            <v>5</v>
          </cell>
          <cell r="J103">
            <v>2</v>
          </cell>
          <cell r="K103">
            <v>24</v>
          </cell>
          <cell r="L103"/>
        </row>
        <row r="104">
          <cell r="B104" t="str">
            <v>SQFMD-0658</v>
          </cell>
          <cell r="C104" t="str">
            <v>Md. Repon Miah</v>
          </cell>
          <cell r="D104" t="str">
            <v>Jr. Mechanic</v>
          </cell>
          <cell r="E104" t="str">
            <v>Technical</v>
          </cell>
          <cell r="F104">
            <v>44819</v>
          </cell>
          <cell r="G104">
            <v>31</v>
          </cell>
          <cell r="H104">
            <v>0</v>
          </cell>
          <cell r="I104">
            <v>5</v>
          </cell>
          <cell r="J104">
            <v>2</v>
          </cell>
          <cell r="K104">
            <v>24</v>
          </cell>
          <cell r="L104"/>
        </row>
        <row r="105">
          <cell r="B105" t="str">
            <v>SQFMD-0659</v>
          </cell>
          <cell r="C105" t="str">
            <v>Md. Aminul Haque</v>
          </cell>
          <cell r="D105" t="str">
            <v>Mechanic</v>
          </cell>
          <cell r="E105" t="str">
            <v>Technical</v>
          </cell>
          <cell r="F105">
            <v>44835</v>
          </cell>
          <cell r="G105">
            <v>31</v>
          </cell>
          <cell r="H105">
            <v>0</v>
          </cell>
          <cell r="I105">
            <v>5</v>
          </cell>
          <cell r="J105">
            <v>2</v>
          </cell>
          <cell r="K105">
            <v>24</v>
          </cell>
          <cell r="L105"/>
        </row>
        <row r="106">
          <cell r="B106" t="str">
            <v>SQFMD-0666</v>
          </cell>
          <cell r="C106" t="str">
            <v>Md. Akabbor Ali</v>
          </cell>
          <cell r="D106" t="str">
            <v>Helper (Lowbed)</v>
          </cell>
          <cell r="E106" t="str">
            <v>Transport</v>
          </cell>
          <cell r="F106">
            <v>44866</v>
          </cell>
          <cell r="G106">
            <v>31</v>
          </cell>
          <cell r="H106">
            <v>2</v>
          </cell>
          <cell r="I106">
            <v>5</v>
          </cell>
          <cell r="J106">
            <v>2</v>
          </cell>
          <cell r="K106">
            <v>22</v>
          </cell>
          <cell r="L106"/>
        </row>
        <row r="107">
          <cell r="B107" t="str">
            <v>SQFMD-0667</v>
          </cell>
          <cell r="C107" t="str">
            <v>Md. Robiul Islam</v>
          </cell>
          <cell r="D107" t="str">
            <v>Sr. Territory Manager</v>
          </cell>
          <cell r="E107" t="str">
            <v>Pesticide &amp; Fertilizer</v>
          </cell>
          <cell r="F107">
            <v>44849</v>
          </cell>
          <cell r="G107">
            <v>31</v>
          </cell>
          <cell r="H107">
            <v>0</v>
          </cell>
          <cell r="I107">
            <v>5</v>
          </cell>
          <cell r="J107">
            <v>2</v>
          </cell>
          <cell r="K107">
            <v>24</v>
          </cell>
          <cell r="L107">
            <v>9</v>
          </cell>
        </row>
        <row r="108">
          <cell r="B108" t="str">
            <v>SQFMD-0668</v>
          </cell>
          <cell r="C108" t="str">
            <v>Md. Shafiqul Islam</v>
          </cell>
          <cell r="D108" t="str">
            <v>Sr. Territory Manager</v>
          </cell>
          <cell r="E108" t="str">
            <v>S&amp;M</v>
          </cell>
          <cell r="F108">
            <v>44849</v>
          </cell>
          <cell r="G108">
            <v>31</v>
          </cell>
          <cell r="H108">
            <v>0</v>
          </cell>
          <cell r="I108">
            <v>5</v>
          </cell>
          <cell r="J108">
            <v>2</v>
          </cell>
          <cell r="K108">
            <v>24</v>
          </cell>
          <cell r="L108"/>
        </row>
        <row r="109">
          <cell r="B109" t="str">
            <v>SQFMD-0669</v>
          </cell>
          <cell r="C109" t="str">
            <v>Md. Ali Reza Manik</v>
          </cell>
          <cell r="D109" t="str">
            <v>Deputy Regional Manager</v>
          </cell>
          <cell r="E109" t="str">
            <v>S&amp;M</v>
          </cell>
          <cell r="F109">
            <v>44849</v>
          </cell>
          <cell r="G109">
            <v>31</v>
          </cell>
          <cell r="H109">
            <v>0</v>
          </cell>
          <cell r="I109">
            <v>5</v>
          </cell>
          <cell r="J109">
            <v>2</v>
          </cell>
          <cell r="K109">
            <v>24</v>
          </cell>
          <cell r="L109"/>
        </row>
        <row r="110">
          <cell r="B110" t="str">
            <v>SQFMD-0672</v>
          </cell>
          <cell r="C110" t="str">
            <v>Md. Nazim Uddin</v>
          </cell>
          <cell r="D110" t="str">
            <v>Store Officer</v>
          </cell>
          <cell r="E110" t="str">
            <v>Pesticide &amp; Fertilizer</v>
          </cell>
          <cell r="F110">
            <v>44849</v>
          </cell>
          <cell r="G110">
            <v>31</v>
          </cell>
          <cell r="H110">
            <v>0</v>
          </cell>
          <cell r="I110">
            <v>5</v>
          </cell>
          <cell r="J110">
            <v>2</v>
          </cell>
          <cell r="K110">
            <v>24</v>
          </cell>
          <cell r="L110"/>
        </row>
        <row r="111">
          <cell r="B111" t="str">
            <v>SQFMD-0674</v>
          </cell>
          <cell r="C111" t="str">
            <v>Md. Saheb Ali</v>
          </cell>
          <cell r="D111" t="str">
            <v>Security Incharge</v>
          </cell>
          <cell r="E111" t="str">
            <v>Admin</v>
          </cell>
          <cell r="F111">
            <v>44849</v>
          </cell>
          <cell r="G111">
            <v>31</v>
          </cell>
          <cell r="H111">
            <v>0</v>
          </cell>
          <cell r="I111">
            <v>5</v>
          </cell>
          <cell r="J111">
            <v>2</v>
          </cell>
          <cell r="K111">
            <v>24</v>
          </cell>
          <cell r="L111"/>
        </row>
        <row r="112">
          <cell r="B112" t="str">
            <v>SQFMD-0675</v>
          </cell>
          <cell r="C112" t="str">
            <v>Md. Shariful Islam</v>
          </cell>
          <cell r="D112" t="str">
            <v>Jr. Mechanic</v>
          </cell>
          <cell r="E112" t="str">
            <v>Technical</v>
          </cell>
          <cell r="F112">
            <v>44849</v>
          </cell>
          <cell r="G112">
            <v>31</v>
          </cell>
          <cell r="H112">
            <v>0</v>
          </cell>
          <cell r="I112">
            <v>5</v>
          </cell>
          <cell r="J112">
            <v>2</v>
          </cell>
          <cell r="K112">
            <v>24</v>
          </cell>
          <cell r="L112"/>
        </row>
        <row r="113">
          <cell r="B113" t="str">
            <v>SQFMD-0677</v>
          </cell>
          <cell r="C113" t="str">
            <v>Md. Abdus Salam Shek</v>
          </cell>
          <cell r="D113" t="str">
            <v>Store Officer</v>
          </cell>
          <cell r="E113" t="str">
            <v>Store &amp; Logistics</v>
          </cell>
          <cell r="F113">
            <v>44866</v>
          </cell>
          <cell r="G113">
            <v>31</v>
          </cell>
          <cell r="H113">
            <v>0</v>
          </cell>
          <cell r="I113">
            <v>5</v>
          </cell>
          <cell r="J113">
            <v>2</v>
          </cell>
          <cell r="K113">
            <v>24</v>
          </cell>
          <cell r="L113"/>
        </row>
        <row r="114">
          <cell r="B114" t="str">
            <v>SQFMD-0680</v>
          </cell>
          <cell r="C114" t="str">
            <v>Kamrul Hasan</v>
          </cell>
          <cell r="D114" t="str">
            <v>ATSO</v>
          </cell>
          <cell r="E114" t="str">
            <v>S&amp;M</v>
          </cell>
          <cell r="F114">
            <v>44866</v>
          </cell>
          <cell r="G114">
            <v>31</v>
          </cell>
          <cell r="H114">
            <v>1</v>
          </cell>
          <cell r="I114">
            <v>5</v>
          </cell>
          <cell r="J114">
            <v>2</v>
          </cell>
          <cell r="K114">
            <v>23</v>
          </cell>
          <cell r="L114"/>
        </row>
        <row r="115">
          <cell r="B115" t="str">
            <v>SQFMD-0681</v>
          </cell>
          <cell r="C115" t="str">
            <v>Md. Delwar Hossain</v>
          </cell>
          <cell r="D115" t="str">
            <v>GM(Finance)</v>
          </cell>
          <cell r="E115" t="str">
            <v>Finance &amp; Accounts</v>
          </cell>
          <cell r="F115">
            <v>44854</v>
          </cell>
          <cell r="G115">
            <v>31</v>
          </cell>
          <cell r="H115">
            <v>0</v>
          </cell>
          <cell r="I115">
            <v>5</v>
          </cell>
          <cell r="J115">
            <v>2</v>
          </cell>
          <cell r="K115">
            <v>24</v>
          </cell>
          <cell r="L115"/>
        </row>
        <row r="116">
          <cell r="B116" t="str">
            <v>SQFMD-0683</v>
          </cell>
          <cell r="C116" t="str">
            <v>Md. Moshiur Rahman</v>
          </cell>
          <cell r="D116" t="str">
            <v>RM</v>
          </cell>
          <cell r="E116" t="str">
            <v>S&amp;M</v>
          </cell>
          <cell r="F116">
            <v>44867</v>
          </cell>
          <cell r="G116">
            <v>31</v>
          </cell>
          <cell r="H116">
            <v>2</v>
          </cell>
          <cell r="I116">
            <v>5</v>
          </cell>
          <cell r="J116">
            <v>2</v>
          </cell>
          <cell r="K116">
            <v>22</v>
          </cell>
          <cell r="L116"/>
        </row>
        <row r="117">
          <cell r="B117" t="str">
            <v>SQFMD-0684</v>
          </cell>
          <cell r="C117" t="str">
            <v>Md. Sadak Hossain Palash</v>
          </cell>
          <cell r="D117" t="str">
            <v>DGM (CRRM)</v>
          </cell>
          <cell r="E117" t="str">
            <v>CRRM</v>
          </cell>
          <cell r="F117">
            <v>40238</v>
          </cell>
          <cell r="G117">
            <v>31</v>
          </cell>
          <cell r="H117">
            <v>3</v>
          </cell>
          <cell r="I117">
            <v>5</v>
          </cell>
          <cell r="J117">
            <v>2</v>
          </cell>
          <cell r="K117">
            <v>21</v>
          </cell>
          <cell r="L117"/>
        </row>
        <row r="118">
          <cell r="B118" t="str">
            <v>SQFMD-0685</v>
          </cell>
          <cell r="C118" t="str">
            <v>Shahjaman</v>
          </cell>
          <cell r="D118" t="str">
            <v>Store Assistant</v>
          </cell>
          <cell r="E118" t="str">
            <v>Store &amp; Logistics</v>
          </cell>
          <cell r="F118">
            <v>44866</v>
          </cell>
          <cell r="G118">
            <v>31</v>
          </cell>
          <cell r="H118">
            <v>4</v>
          </cell>
          <cell r="I118">
            <v>5</v>
          </cell>
          <cell r="J118">
            <v>2</v>
          </cell>
          <cell r="K118">
            <v>20</v>
          </cell>
          <cell r="L118"/>
        </row>
        <row r="119">
          <cell r="B119" t="str">
            <v>SQFMD-0686</v>
          </cell>
          <cell r="C119" t="str">
            <v>Md. Akter Hossen</v>
          </cell>
          <cell r="D119" t="str">
            <v>Office Assistant</v>
          </cell>
          <cell r="E119" t="str">
            <v>Admin</v>
          </cell>
          <cell r="F119">
            <v>44870</v>
          </cell>
          <cell r="G119">
            <v>31</v>
          </cell>
          <cell r="H119">
            <v>0</v>
          </cell>
          <cell r="I119">
            <v>5</v>
          </cell>
          <cell r="J119">
            <v>2</v>
          </cell>
          <cell r="K119">
            <v>24</v>
          </cell>
          <cell r="L119">
            <v>16</v>
          </cell>
        </row>
        <row r="120">
          <cell r="B120" t="str">
            <v>SQFMD-0687</v>
          </cell>
          <cell r="C120" t="str">
            <v>Md. Tanvir Islam</v>
          </cell>
          <cell r="D120" t="str">
            <v>Sr. Territory Manager</v>
          </cell>
          <cell r="E120" t="str">
            <v>S&amp;M</v>
          </cell>
          <cell r="F120">
            <v>44874</v>
          </cell>
          <cell r="G120">
            <v>31</v>
          </cell>
          <cell r="H120">
            <v>2</v>
          </cell>
          <cell r="I120">
            <v>5</v>
          </cell>
          <cell r="J120">
            <v>2</v>
          </cell>
          <cell r="K120">
            <v>22</v>
          </cell>
          <cell r="L120"/>
        </row>
        <row r="121">
          <cell r="B121" t="str">
            <v>SQFMD-0688</v>
          </cell>
          <cell r="C121" t="str">
            <v>Md. Mamun Islam</v>
          </cell>
          <cell r="D121" t="str">
            <v>Mechanic</v>
          </cell>
          <cell r="E121" t="str">
            <v>Technical</v>
          </cell>
          <cell r="F121">
            <v>44875</v>
          </cell>
          <cell r="G121">
            <v>31</v>
          </cell>
          <cell r="H121">
            <v>0</v>
          </cell>
          <cell r="I121">
            <v>5</v>
          </cell>
          <cell r="J121">
            <v>2</v>
          </cell>
          <cell r="K121">
            <v>24</v>
          </cell>
          <cell r="L121"/>
        </row>
        <row r="122">
          <cell r="B122" t="str">
            <v>SQFMD-0691</v>
          </cell>
          <cell r="C122" t="str">
            <v>Jikrul Islam</v>
          </cell>
          <cell r="D122" t="str">
            <v>TSO</v>
          </cell>
          <cell r="E122" t="str">
            <v>S&amp;M</v>
          </cell>
          <cell r="F122">
            <v>44880</v>
          </cell>
          <cell r="G122">
            <v>31</v>
          </cell>
          <cell r="H122">
            <v>0</v>
          </cell>
          <cell r="I122">
            <v>5</v>
          </cell>
          <cell r="J122">
            <v>2</v>
          </cell>
          <cell r="K122">
            <v>24</v>
          </cell>
          <cell r="L122"/>
        </row>
        <row r="123">
          <cell r="B123" t="str">
            <v>SQFMD-0692</v>
          </cell>
          <cell r="C123" t="str">
            <v>Mizanur Rahman Mizan</v>
          </cell>
          <cell r="D123" t="str">
            <v>TSO</v>
          </cell>
          <cell r="E123" t="str">
            <v>S&amp;M</v>
          </cell>
          <cell r="F123">
            <v>44880</v>
          </cell>
          <cell r="G123">
            <v>31</v>
          </cell>
          <cell r="H123">
            <v>0</v>
          </cell>
          <cell r="I123">
            <v>5</v>
          </cell>
          <cell r="J123">
            <v>2</v>
          </cell>
          <cell r="K123">
            <v>24</v>
          </cell>
          <cell r="L123"/>
        </row>
        <row r="124">
          <cell r="B124" t="str">
            <v>SQFMD-0694</v>
          </cell>
          <cell r="C124" t="str">
            <v>Md. Saju Ahammad</v>
          </cell>
          <cell r="D124" t="str">
            <v>Mechanic</v>
          </cell>
          <cell r="E124" t="str">
            <v>Technical</v>
          </cell>
          <cell r="F124">
            <v>44882</v>
          </cell>
          <cell r="G124">
            <v>31</v>
          </cell>
          <cell r="H124">
            <v>2</v>
          </cell>
          <cell r="I124">
            <v>5</v>
          </cell>
          <cell r="J124">
            <v>2</v>
          </cell>
          <cell r="K124">
            <v>22</v>
          </cell>
          <cell r="L124"/>
        </row>
        <row r="125">
          <cell r="B125" t="str">
            <v>SQFMD-0696</v>
          </cell>
          <cell r="C125" t="str">
            <v>Md. Mahfuzur Rahman</v>
          </cell>
          <cell r="D125" t="str">
            <v>Jr. Mechanic</v>
          </cell>
          <cell r="E125" t="str">
            <v>Technical</v>
          </cell>
          <cell r="F125">
            <v>44885</v>
          </cell>
          <cell r="G125">
            <v>31</v>
          </cell>
          <cell r="H125">
            <v>2</v>
          </cell>
          <cell r="I125">
            <v>5</v>
          </cell>
          <cell r="J125">
            <v>2</v>
          </cell>
          <cell r="K125">
            <v>22</v>
          </cell>
          <cell r="L125">
            <v>1</v>
          </cell>
        </row>
        <row r="126">
          <cell r="B126" t="str">
            <v>SQFMD-0698</v>
          </cell>
          <cell r="C126" t="str">
            <v>Md. Razib Rony</v>
          </cell>
          <cell r="D126" t="str">
            <v>Sr. Mechanic</v>
          </cell>
          <cell r="E126" t="str">
            <v>Technical</v>
          </cell>
          <cell r="F126">
            <v>44886</v>
          </cell>
          <cell r="G126">
            <v>31</v>
          </cell>
          <cell r="H126">
            <v>0</v>
          </cell>
          <cell r="I126">
            <v>5</v>
          </cell>
          <cell r="J126">
            <v>2</v>
          </cell>
          <cell r="K126">
            <v>24</v>
          </cell>
          <cell r="L126"/>
        </row>
        <row r="127">
          <cell r="B127" t="str">
            <v>SQFMD-0702</v>
          </cell>
          <cell r="C127" t="str">
            <v>Faysal Ahammed Munshi</v>
          </cell>
          <cell r="D127" t="str">
            <v>Store Officer</v>
          </cell>
          <cell r="E127" t="str">
            <v>Store &amp; logistics</v>
          </cell>
          <cell r="F127">
            <v>44915</v>
          </cell>
          <cell r="G127">
            <v>31</v>
          </cell>
          <cell r="H127">
            <v>2</v>
          </cell>
          <cell r="I127">
            <v>5</v>
          </cell>
          <cell r="J127">
            <v>2</v>
          </cell>
          <cell r="K127">
            <v>22</v>
          </cell>
          <cell r="L127"/>
        </row>
        <row r="128">
          <cell r="B128" t="str">
            <v>SQFMD-0704</v>
          </cell>
          <cell r="C128" t="str">
            <v>Md. Abdur Rouf</v>
          </cell>
          <cell r="D128" t="str">
            <v>Sr. Officer (Production)</v>
          </cell>
          <cell r="E128" t="str">
            <v>Seed</v>
          </cell>
          <cell r="F128">
            <v>44927</v>
          </cell>
          <cell r="G128">
            <v>31</v>
          </cell>
          <cell r="H128">
            <v>0</v>
          </cell>
          <cell r="I128">
            <v>5</v>
          </cell>
          <cell r="J128">
            <v>2</v>
          </cell>
          <cell r="K128">
            <v>24</v>
          </cell>
          <cell r="L128"/>
        </row>
        <row r="129">
          <cell r="B129" t="str">
            <v>SQFMD-0706</v>
          </cell>
          <cell r="C129" t="str">
            <v>Asik Ahmed</v>
          </cell>
          <cell r="D129" t="str">
            <v>Store Officer</v>
          </cell>
          <cell r="E129" t="str">
            <v>Store &amp; logistics</v>
          </cell>
          <cell r="F129">
            <v>44941</v>
          </cell>
          <cell r="G129">
            <v>31</v>
          </cell>
          <cell r="H129">
            <v>0</v>
          </cell>
          <cell r="I129">
            <v>5</v>
          </cell>
          <cell r="J129">
            <v>2</v>
          </cell>
          <cell r="K129">
            <v>24</v>
          </cell>
          <cell r="L129"/>
        </row>
        <row r="130">
          <cell r="B130" t="str">
            <v>SQFMD-0707</v>
          </cell>
          <cell r="C130" t="str">
            <v>Md. Sorowar Hossain</v>
          </cell>
          <cell r="D130" t="str">
            <v>Officer (Production)</v>
          </cell>
          <cell r="E130" t="str">
            <v>Seed</v>
          </cell>
          <cell r="F130">
            <v>44947</v>
          </cell>
          <cell r="G130">
            <v>31</v>
          </cell>
          <cell r="H130">
            <v>0</v>
          </cell>
          <cell r="I130">
            <v>5</v>
          </cell>
          <cell r="J130">
            <v>2</v>
          </cell>
          <cell r="K130">
            <v>24</v>
          </cell>
          <cell r="L130"/>
        </row>
        <row r="131">
          <cell r="B131" t="str">
            <v>SQFMD-0708</v>
          </cell>
          <cell r="C131" t="str">
            <v>Md. Nurul Islam Talukder</v>
          </cell>
          <cell r="D131" t="str">
            <v>Consultant</v>
          </cell>
          <cell r="E131" t="str">
            <v>HR &amp; Admin</v>
          </cell>
          <cell r="F131">
            <v>44867</v>
          </cell>
          <cell r="G131">
            <v>31</v>
          </cell>
          <cell r="H131">
            <v>2</v>
          </cell>
          <cell r="I131">
            <v>5</v>
          </cell>
          <cell r="J131">
            <v>2</v>
          </cell>
          <cell r="K131">
            <v>22</v>
          </cell>
          <cell r="L131"/>
        </row>
        <row r="132">
          <cell r="B132" t="str">
            <v>SQFMD-0709</v>
          </cell>
          <cell r="C132" t="str">
            <v>Golam Naser Zilany</v>
          </cell>
          <cell r="D132" t="str">
            <v>Asst. Manager</v>
          </cell>
          <cell r="E132" t="str">
            <v>R&amp;D</v>
          </cell>
          <cell r="F132">
            <v>44942</v>
          </cell>
          <cell r="G132">
            <v>31</v>
          </cell>
          <cell r="H132">
            <v>0</v>
          </cell>
          <cell r="I132">
            <v>5</v>
          </cell>
          <cell r="J132">
            <v>2</v>
          </cell>
          <cell r="K132">
            <v>24</v>
          </cell>
          <cell r="L132"/>
        </row>
        <row r="133">
          <cell r="B133" t="str">
            <v>SQFMD-0712</v>
          </cell>
          <cell r="C133" t="str">
            <v>Md. Tahsinur Rahman</v>
          </cell>
          <cell r="D133" t="str">
            <v>HR Officer</v>
          </cell>
          <cell r="E133" t="str">
            <v>HR &amp; Admin</v>
          </cell>
          <cell r="F133">
            <v>45323</v>
          </cell>
          <cell r="G133">
            <v>31</v>
          </cell>
          <cell r="H133">
            <v>0</v>
          </cell>
          <cell r="I133">
            <v>5</v>
          </cell>
          <cell r="J133">
            <v>2</v>
          </cell>
          <cell r="K133">
            <v>24</v>
          </cell>
          <cell r="L133"/>
        </row>
        <row r="134">
          <cell r="B134" t="str">
            <v>SQFMD-0713</v>
          </cell>
          <cell r="C134" t="str">
            <v>Shahadatul Islam</v>
          </cell>
          <cell r="D134" t="str">
            <v>Jr. Mechanic</v>
          </cell>
          <cell r="E134" t="str">
            <v>Technical</v>
          </cell>
          <cell r="F134">
            <v>44945</v>
          </cell>
          <cell r="G134">
            <v>31</v>
          </cell>
          <cell r="H134">
            <v>0</v>
          </cell>
          <cell r="I134">
            <v>5</v>
          </cell>
          <cell r="J134">
            <v>2</v>
          </cell>
          <cell r="K134">
            <v>24</v>
          </cell>
          <cell r="L134"/>
        </row>
        <row r="135">
          <cell r="B135" t="str">
            <v>SQFMD-0716</v>
          </cell>
          <cell r="C135" t="str">
            <v>Md. Gulzar Islam</v>
          </cell>
          <cell r="D135" t="str">
            <v>Mechanic</v>
          </cell>
          <cell r="E135" t="str">
            <v>Technical</v>
          </cell>
          <cell r="F135">
            <v>44949</v>
          </cell>
          <cell r="G135">
            <v>31</v>
          </cell>
          <cell r="H135">
            <v>0</v>
          </cell>
          <cell r="I135">
            <v>5</v>
          </cell>
          <cell r="J135">
            <v>2</v>
          </cell>
          <cell r="K135">
            <v>24</v>
          </cell>
          <cell r="L135"/>
        </row>
        <row r="136">
          <cell r="B136" t="str">
            <v>SQFMD-0717</v>
          </cell>
          <cell r="C136" t="str">
            <v>Israt Jahan</v>
          </cell>
          <cell r="D136" t="str">
            <v>Executive (S&amp;A)</v>
          </cell>
          <cell r="E136" t="str">
            <v>S&amp;M</v>
          </cell>
          <cell r="F136">
            <v>44958</v>
          </cell>
          <cell r="G136">
            <v>31</v>
          </cell>
          <cell r="H136">
            <v>0</v>
          </cell>
          <cell r="I136">
            <v>5</v>
          </cell>
          <cell r="J136">
            <v>2</v>
          </cell>
          <cell r="K136">
            <v>24</v>
          </cell>
          <cell r="L136"/>
        </row>
        <row r="137">
          <cell r="B137" t="str">
            <v>SQFMD-0718</v>
          </cell>
          <cell r="C137" t="str">
            <v>Md. Suhanur Rahman Suhag</v>
          </cell>
          <cell r="D137" t="str">
            <v>Mechanic</v>
          </cell>
          <cell r="E137" t="str">
            <v>Technical</v>
          </cell>
          <cell r="F137">
            <v>44968</v>
          </cell>
          <cell r="G137">
            <v>31</v>
          </cell>
          <cell r="H137">
            <v>1</v>
          </cell>
          <cell r="I137">
            <v>5</v>
          </cell>
          <cell r="J137">
            <v>2</v>
          </cell>
          <cell r="K137">
            <v>23</v>
          </cell>
          <cell r="L137"/>
        </row>
        <row r="138">
          <cell r="B138" t="str">
            <v>SQFMD-0719</v>
          </cell>
          <cell r="C138" t="str">
            <v>Shohel Rana</v>
          </cell>
          <cell r="D138" t="str">
            <v>Mechanic</v>
          </cell>
          <cell r="E138" t="str">
            <v>Technical</v>
          </cell>
          <cell r="F138">
            <v>44966</v>
          </cell>
          <cell r="G138">
            <v>31</v>
          </cell>
          <cell r="H138">
            <v>2</v>
          </cell>
          <cell r="I138">
            <v>5</v>
          </cell>
          <cell r="J138">
            <v>2</v>
          </cell>
          <cell r="K138">
            <v>22</v>
          </cell>
          <cell r="L138"/>
        </row>
        <row r="139">
          <cell r="B139" t="str">
            <v>SQFMD-0720</v>
          </cell>
          <cell r="C139" t="str">
            <v>Md. Shofiqul Islam</v>
          </cell>
          <cell r="D139" t="str">
            <v>Asst. Territory Manager</v>
          </cell>
          <cell r="E139" t="str">
            <v>S&amp;M</v>
          </cell>
          <cell r="F139">
            <v>44964</v>
          </cell>
          <cell r="G139">
            <v>31</v>
          </cell>
          <cell r="H139">
            <v>0</v>
          </cell>
          <cell r="I139">
            <v>5</v>
          </cell>
          <cell r="J139">
            <v>2</v>
          </cell>
          <cell r="K139">
            <v>24</v>
          </cell>
          <cell r="L139"/>
        </row>
        <row r="140">
          <cell r="B140" t="str">
            <v>SQFMD-0721</v>
          </cell>
          <cell r="C140" t="str">
            <v>Md. Maznur Rahman</v>
          </cell>
          <cell r="D140" t="str">
            <v>Regional Manager</v>
          </cell>
          <cell r="E140" t="str">
            <v>S&amp;M</v>
          </cell>
          <cell r="F140">
            <v>44964</v>
          </cell>
          <cell r="G140">
            <v>31</v>
          </cell>
          <cell r="H140">
            <v>1</v>
          </cell>
          <cell r="I140">
            <v>5</v>
          </cell>
          <cell r="J140">
            <v>2</v>
          </cell>
          <cell r="K140">
            <v>23</v>
          </cell>
          <cell r="L140"/>
        </row>
        <row r="141">
          <cell r="B141" t="str">
            <v>SQFMD-0722</v>
          </cell>
          <cell r="C141" t="str">
            <v>Dilip Kumar Barmon</v>
          </cell>
          <cell r="D141" t="str">
            <v>STSO</v>
          </cell>
          <cell r="E141" t="str">
            <v>S&amp;M</v>
          </cell>
          <cell r="F141">
            <v>44965</v>
          </cell>
          <cell r="G141">
            <v>31</v>
          </cell>
          <cell r="H141">
            <v>1</v>
          </cell>
          <cell r="I141">
            <v>5</v>
          </cell>
          <cell r="J141">
            <v>2</v>
          </cell>
          <cell r="K141">
            <v>23</v>
          </cell>
          <cell r="L141"/>
        </row>
        <row r="142">
          <cell r="B142" t="str">
            <v>SQFMD-0724</v>
          </cell>
          <cell r="C142" t="str">
            <v>Md. Billal Hossain</v>
          </cell>
          <cell r="D142" t="str">
            <v>STSO</v>
          </cell>
          <cell r="E142" t="str">
            <v>Seed</v>
          </cell>
          <cell r="F142">
            <v>44977</v>
          </cell>
          <cell r="G142">
            <v>31</v>
          </cell>
          <cell r="H142">
            <v>1</v>
          </cell>
          <cell r="I142">
            <v>5</v>
          </cell>
          <cell r="J142">
            <v>2</v>
          </cell>
          <cell r="K142">
            <v>23</v>
          </cell>
          <cell r="L142"/>
        </row>
        <row r="143">
          <cell r="B143" t="str">
            <v>SQFMD-0726</v>
          </cell>
          <cell r="C143" t="str">
            <v>Md. Shoiyeb Hasan Sajal</v>
          </cell>
          <cell r="D143" t="str">
            <v>Territorry Service Manager</v>
          </cell>
          <cell r="E143" t="str">
            <v>Technical</v>
          </cell>
          <cell r="F143">
            <v>44979</v>
          </cell>
          <cell r="G143">
            <v>31</v>
          </cell>
          <cell r="H143">
            <v>0</v>
          </cell>
          <cell r="I143">
            <v>5</v>
          </cell>
          <cell r="J143">
            <v>2</v>
          </cell>
          <cell r="K143">
            <v>24</v>
          </cell>
          <cell r="L143"/>
        </row>
        <row r="144">
          <cell r="B144" t="str">
            <v>SQFMD-0727</v>
          </cell>
          <cell r="C144" t="str">
            <v>Shofiqul Islam</v>
          </cell>
          <cell r="D144" t="str">
            <v>Service Engineer</v>
          </cell>
          <cell r="E144" t="str">
            <v>Technical</v>
          </cell>
          <cell r="F144">
            <v>44968</v>
          </cell>
          <cell r="G144">
            <v>31</v>
          </cell>
          <cell r="H144">
            <v>0</v>
          </cell>
          <cell r="I144">
            <v>5</v>
          </cell>
          <cell r="J144">
            <v>2</v>
          </cell>
          <cell r="K144">
            <v>24</v>
          </cell>
          <cell r="L144"/>
        </row>
        <row r="145">
          <cell r="B145" t="str">
            <v>SQFMD-0728</v>
          </cell>
          <cell r="C145" t="str">
            <v>Al Farabie Mubashir</v>
          </cell>
          <cell r="D145" t="str">
            <v>Trainee Engineer</v>
          </cell>
          <cell r="E145" t="str">
            <v>Technical</v>
          </cell>
          <cell r="F145">
            <v>44972</v>
          </cell>
          <cell r="G145">
            <v>31</v>
          </cell>
          <cell r="H145">
            <v>0</v>
          </cell>
          <cell r="I145">
            <v>5</v>
          </cell>
          <cell r="J145">
            <v>2</v>
          </cell>
          <cell r="K145">
            <v>24</v>
          </cell>
          <cell r="L145"/>
        </row>
        <row r="146">
          <cell r="B146" t="str">
            <v>SQFMD-0729</v>
          </cell>
          <cell r="C146" t="str">
            <v>Sohid Ali</v>
          </cell>
          <cell r="D146" t="str">
            <v>ATSO</v>
          </cell>
          <cell r="E146" t="str">
            <v>S&amp;M</v>
          </cell>
          <cell r="F146">
            <v>44986</v>
          </cell>
          <cell r="G146">
            <v>31</v>
          </cell>
          <cell r="H146">
            <v>2</v>
          </cell>
          <cell r="I146">
            <v>5</v>
          </cell>
          <cell r="J146">
            <v>2</v>
          </cell>
          <cell r="K146">
            <v>22</v>
          </cell>
          <cell r="L146"/>
        </row>
        <row r="147">
          <cell r="B147" t="str">
            <v>SQFMD-0730</v>
          </cell>
          <cell r="C147" t="str">
            <v>Md. Arif</v>
          </cell>
          <cell r="D147" t="str">
            <v>Mechanic</v>
          </cell>
          <cell r="E147" t="str">
            <v>Technical</v>
          </cell>
          <cell r="F147">
            <v>44977</v>
          </cell>
          <cell r="G147">
            <v>31</v>
          </cell>
          <cell r="H147">
            <v>0</v>
          </cell>
          <cell r="I147">
            <v>5</v>
          </cell>
          <cell r="J147">
            <v>2</v>
          </cell>
          <cell r="K147">
            <v>24</v>
          </cell>
          <cell r="L147"/>
        </row>
        <row r="148">
          <cell r="B148" t="str">
            <v>SQFMD-0731</v>
          </cell>
          <cell r="C148" t="str">
            <v>Syed Zamiul Haque</v>
          </cell>
          <cell r="D148" t="str">
            <v>TSO</v>
          </cell>
          <cell r="E148" t="str">
            <v>Seed</v>
          </cell>
          <cell r="F148">
            <v>44986</v>
          </cell>
          <cell r="G148">
            <v>31</v>
          </cell>
          <cell r="H148">
            <v>3</v>
          </cell>
          <cell r="I148">
            <v>5</v>
          </cell>
          <cell r="J148">
            <v>2</v>
          </cell>
          <cell r="K148">
            <v>21</v>
          </cell>
          <cell r="L148"/>
        </row>
        <row r="149">
          <cell r="B149" t="str">
            <v>SQFMD-0732</v>
          </cell>
          <cell r="C149" t="str">
            <v>Mohammad Sariful Islam</v>
          </cell>
          <cell r="D149" t="str">
            <v>ATM</v>
          </cell>
          <cell r="E149" t="str">
            <v>S&amp;M</v>
          </cell>
          <cell r="F149">
            <v>44990</v>
          </cell>
          <cell r="G149">
            <v>31</v>
          </cell>
          <cell r="H149">
            <v>0</v>
          </cell>
          <cell r="I149">
            <v>5</v>
          </cell>
          <cell r="J149">
            <v>2</v>
          </cell>
          <cell r="K149">
            <v>24</v>
          </cell>
          <cell r="L149"/>
        </row>
        <row r="150">
          <cell r="B150" t="str">
            <v>SQFMD-0734</v>
          </cell>
          <cell r="C150" t="str">
            <v>Md. Rashedul Islam Chowdhury</v>
          </cell>
          <cell r="D150" t="str">
            <v>STSO</v>
          </cell>
          <cell r="E150" t="str">
            <v>Seed</v>
          </cell>
          <cell r="F150">
            <v>45000</v>
          </cell>
          <cell r="G150">
            <v>31</v>
          </cell>
          <cell r="H150">
            <v>0</v>
          </cell>
          <cell r="I150">
            <v>5</v>
          </cell>
          <cell r="J150">
            <v>2</v>
          </cell>
          <cell r="K150">
            <v>24</v>
          </cell>
          <cell r="L150"/>
        </row>
        <row r="151">
          <cell r="B151" t="str">
            <v>SQFMD-0737</v>
          </cell>
          <cell r="C151" t="str">
            <v>Md. Nur Sayed</v>
          </cell>
          <cell r="D151" t="str">
            <v>Mechanic</v>
          </cell>
          <cell r="E151" t="str">
            <v>Technical</v>
          </cell>
          <cell r="F151">
            <v>45021</v>
          </cell>
          <cell r="G151">
            <v>31</v>
          </cell>
          <cell r="H151">
            <v>2</v>
          </cell>
          <cell r="I151">
            <v>5</v>
          </cell>
          <cell r="J151">
            <v>2</v>
          </cell>
          <cell r="K151">
            <v>22</v>
          </cell>
          <cell r="L151"/>
        </row>
        <row r="152">
          <cell r="B152" t="str">
            <v>SQFMD-0740</v>
          </cell>
          <cell r="C152" t="str">
            <v>Md. Hasanur Rahman</v>
          </cell>
          <cell r="D152" t="str">
            <v>Mechanic</v>
          </cell>
          <cell r="E152" t="str">
            <v>Technical</v>
          </cell>
          <cell r="F152">
            <v>45025</v>
          </cell>
          <cell r="G152">
            <v>31</v>
          </cell>
          <cell r="H152">
            <v>0</v>
          </cell>
          <cell r="I152">
            <v>5</v>
          </cell>
          <cell r="J152">
            <v>2</v>
          </cell>
          <cell r="K152">
            <v>24</v>
          </cell>
          <cell r="L152">
            <v>1</v>
          </cell>
        </row>
        <row r="153">
          <cell r="B153" t="str">
            <v>SQFMD-0741</v>
          </cell>
          <cell r="C153" t="str">
            <v>Md. Raju Ahmed</v>
          </cell>
          <cell r="D153" t="str">
            <v>Mechanic</v>
          </cell>
          <cell r="E153" t="str">
            <v>Technical</v>
          </cell>
          <cell r="F153">
            <v>45024</v>
          </cell>
          <cell r="G153">
            <v>31</v>
          </cell>
          <cell r="H153">
            <v>0</v>
          </cell>
          <cell r="I153">
            <v>5</v>
          </cell>
          <cell r="J153">
            <v>2</v>
          </cell>
          <cell r="K153">
            <v>24</v>
          </cell>
          <cell r="L153"/>
        </row>
        <row r="154">
          <cell r="B154" t="str">
            <v>SQFMD-0742</v>
          </cell>
          <cell r="C154" t="str">
            <v>Md. Abdur Rahim</v>
          </cell>
          <cell r="D154" t="str">
            <v>Mechanic</v>
          </cell>
          <cell r="E154" t="str">
            <v>Technical</v>
          </cell>
          <cell r="F154">
            <v>45024</v>
          </cell>
          <cell r="G154">
            <v>31</v>
          </cell>
          <cell r="H154">
            <v>0</v>
          </cell>
          <cell r="I154">
            <v>5</v>
          </cell>
          <cell r="J154">
            <v>2</v>
          </cell>
          <cell r="K154">
            <v>24</v>
          </cell>
          <cell r="L154">
            <v>2</v>
          </cell>
        </row>
        <row r="155">
          <cell r="B155" t="str">
            <v>SQFMD-0746</v>
          </cell>
          <cell r="C155" t="str">
            <v>Md. Kaiyum Babu</v>
          </cell>
          <cell r="D155" t="str">
            <v>Mechanic</v>
          </cell>
          <cell r="E155" t="str">
            <v>Technical</v>
          </cell>
          <cell r="F155">
            <v>45032</v>
          </cell>
          <cell r="G155">
            <v>31</v>
          </cell>
          <cell r="H155">
            <v>0</v>
          </cell>
          <cell r="I155">
            <v>5</v>
          </cell>
          <cell r="J155">
            <v>2</v>
          </cell>
          <cell r="K155">
            <v>24</v>
          </cell>
          <cell r="L155"/>
        </row>
        <row r="156">
          <cell r="B156" t="str">
            <v>SQFMD-0748</v>
          </cell>
          <cell r="C156" t="str">
            <v>Md. Niem Hosen</v>
          </cell>
          <cell r="D156" t="str">
            <v>Mechanic</v>
          </cell>
          <cell r="E156" t="str">
            <v>Technical</v>
          </cell>
          <cell r="F156">
            <v>45041</v>
          </cell>
          <cell r="G156">
            <v>31</v>
          </cell>
          <cell r="H156">
            <v>0</v>
          </cell>
          <cell r="I156">
            <v>5</v>
          </cell>
          <cell r="J156">
            <v>2</v>
          </cell>
          <cell r="K156">
            <v>24</v>
          </cell>
          <cell r="L156"/>
        </row>
        <row r="157">
          <cell r="B157" t="str">
            <v>SQFMD-0749</v>
          </cell>
          <cell r="C157" t="str">
            <v>Md Shahjahan Ali</v>
          </cell>
          <cell r="D157" t="str">
            <v>Sr. Territory Sales officer</v>
          </cell>
          <cell r="E157" t="str">
            <v>S&amp;M</v>
          </cell>
          <cell r="F157">
            <v>45042</v>
          </cell>
          <cell r="G157">
            <v>31</v>
          </cell>
          <cell r="H157">
            <v>0</v>
          </cell>
          <cell r="I157">
            <v>5</v>
          </cell>
          <cell r="J157">
            <v>2</v>
          </cell>
          <cell r="K157">
            <v>24</v>
          </cell>
          <cell r="L157"/>
        </row>
        <row r="158">
          <cell r="B158" t="str">
            <v>SQFMD-0750</v>
          </cell>
          <cell r="C158" t="str">
            <v>Md Balal Hossain</v>
          </cell>
          <cell r="D158" t="str">
            <v>Asst. Mechanic</v>
          </cell>
          <cell r="E158" t="str">
            <v>Technical</v>
          </cell>
          <cell r="F158">
            <v>45049</v>
          </cell>
          <cell r="G158">
            <v>31</v>
          </cell>
          <cell r="H158">
            <v>0</v>
          </cell>
          <cell r="I158">
            <v>5</v>
          </cell>
          <cell r="J158">
            <v>2</v>
          </cell>
          <cell r="K158">
            <v>24</v>
          </cell>
          <cell r="L158"/>
        </row>
        <row r="159">
          <cell r="B159" t="str">
            <v>SQFMD-0753</v>
          </cell>
          <cell r="C159" t="str">
            <v>Md. Shariful Islam</v>
          </cell>
          <cell r="D159" t="str">
            <v>STSO</v>
          </cell>
          <cell r="E159" t="str">
            <v>S&amp;M</v>
          </cell>
          <cell r="F159">
            <v>45048</v>
          </cell>
          <cell r="G159">
            <v>31</v>
          </cell>
          <cell r="H159">
            <v>0</v>
          </cell>
          <cell r="I159">
            <v>5</v>
          </cell>
          <cell r="J159">
            <v>2</v>
          </cell>
          <cell r="K159">
            <v>24</v>
          </cell>
          <cell r="L159"/>
        </row>
        <row r="160">
          <cell r="B160" t="str">
            <v>SQFMD-0754</v>
          </cell>
          <cell r="C160" t="str">
            <v>Md. Mehedi Hasan</v>
          </cell>
          <cell r="D160" t="str">
            <v>TSO</v>
          </cell>
          <cell r="E160" t="str">
            <v>S&amp;M</v>
          </cell>
          <cell r="F160">
            <v>45048</v>
          </cell>
          <cell r="G160">
            <v>31</v>
          </cell>
          <cell r="H160">
            <v>0</v>
          </cell>
          <cell r="I160">
            <v>5</v>
          </cell>
          <cell r="J160">
            <v>2</v>
          </cell>
          <cell r="K160">
            <v>24</v>
          </cell>
          <cell r="L160"/>
        </row>
        <row r="161">
          <cell r="B161" t="str">
            <v>SQFMD-0755</v>
          </cell>
          <cell r="C161" t="str">
            <v>Md Mustafa Kamal</v>
          </cell>
          <cell r="D161" t="str">
            <v>Territory Manager</v>
          </cell>
          <cell r="E161" t="str">
            <v>Seed</v>
          </cell>
          <cell r="F161">
            <v>45048</v>
          </cell>
          <cell r="G161">
            <v>31</v>
          </cell>
          <cell r="H161">
            <v>0</v>
          </cell>
          <cell r="I161">
            <v>5</v>
          </cell>
          <cell r="J161">
            <v>2</v>
          </cell>
          <cell r="K161">
            <v>24</v>
          </cell>
          <cell r="L161"/>
        </row>
        <row r="162">
          <cell r="B162" t="str">
            <v>SQFMD-0756</v>
          </cell>
          <cell r="C162" t="str">
            <v>Md Soyeb Mamud</v>
          </cell>
          <cell r="D162" t="str">
            <v>Store Officer</v>
          </cell>
          <cell r="E162" t="str">
            <v>Store &amp; Logistics</v>
          </cell>
          <cell r="F162">
            <v>45048</v>
          </cell>
          <cell r="G162">
            <v>31</v>
          </cell>
          <cell r="H162">
            <v>2</v>
          </cell>
          <cell r="I162">
            <v>5</v>
          </cell>
          <cell r="J162">
            <v>2</v>
          </cell>
          <cell r="K162">
            <v>22</v>
          </cell>
          <cell r="L162"/>
        </row>
        <row r="163">
          <cell r="B163" t="str">
            <v>SQFMD-0758</v>
          </cell>
          <cell r="C163" t="str">
            <v>Md Rahem Mia</v>
          </cell>
          <cell r="D163" t="str">
            <v>STSO</v>
          </cell>
          <cell r="E163" t="str">
            <v>Seed</v>
          </cell>
          <cell r="F163">
            <v>45048</v>
          </cell>
          <cell r="G163">
            <v>31</v>
          </cell>
          <cell r="H163">
            <v>0</v>
          </cell>
          <cell r="I163">
            <v>5</v>
          </cell>
          <cell r="J163">
            <v>2</v>
          </cell>
          <cell r="K163">
            <v>24</v>
          </cell>
          <cell r="L163"/>
        </row>
        <row r="164">
          <cell r="B164" t="str">
            <v>SQFMD-0760</v>
          </cell>
          <cell r="C164" t="str">
            <v>B M Abul Hasnath</v>
          </cell>
          <cell r="D164" t="str">
            <v>ATM</v>
          </cell>
          <cell r="E164" t="str">
            <v>S&amp;M</v>
          </cell>
          <cell r="F164">
            <v>45052</v>
          </cell>
          <cell r="G164">
            <v>31</v>
          </cell>
          <cell r="H164">
            <v>0</v>
          </cell>
          <cell r="I164">
            <v>5</v>
          </cell>
          <cell r="J164">
            <v>2</v>
          </cell>
          <cell r="K164">
            <v>24</v>
          </cell>
          <cell r="L164"/>
        </row>
        <row r="165">
          <cell r="B165" t="str">
            <v>SQFMD-0762</v>
          </cell>
          <cell r="C165" t="str">
            <v>Md Moshiur Rahman</v>
          </cell>
          <cell r="D165" t="str">
            <v>Accounts Officer</v>
          </cell>
          <cell r="E165" t="str">
            <v>Finance &amp; Accounts</v>
          </cell>
          <cell r="F165">
            <v>45048</v>
          </cell>
          <cell r="G165">
            <v>31</v>
          </cell>
          <cell r="H165">
            <v>0</v>
          </cell>
          <cell r="I165">
            <v>5</v>
          </cell>
          <cell r="J165">
            <v>2</v>
          </cell>
          <cell r="K165">
            <v>24</v>
          </cell>
          <cell r="L165"/>
        </row>
        <row r="166">
          <cell r="B166" t="str">
            <v>SQFMD-0763</v>
          </cell>
          <cell r="C166" t="str">
            <v>Md. Kayum Hossain</v>
          </cell>
          <cell r="D166" t="str">
            <v>Sr. Mechanic</v>
          </cell>
          <cell r="E166" t="str">
            <v>Technical</v>
          </cell>
          <cell r="F166">
            <v>45053</v>
          </cell>
          <cell r="G166">
            <v>31</v>
          </cell>
          <cell r="H166">
            <v>0</v>
          </cell>
          <cell r="I166">
            <v>5</v>
          </cell>
          <cell r="J166">
            <v>2</v>
          </cell>
          <cell r="K166">
            <v>24</v>
          </cell>
          <cell r="L166"/>
        </row>
        <row r="167">
          <cell r="B167" t="str">
            <v>SQFMD-0764</v>
          </cell>
          <cell r="C167" t="str">
            <v>Md Mostafizur Rahman</v>
          </cell>
          <cell r="D167" t="str">
            <v>Deputy Manager</v>
          </cell>
          <cell r="E167" t="str">
            <v>Commercial &amp; SCM</v>
          </cell>
          <cell r="F167">
            <v>42444</v>
          </cell>
          <cell r="G167">
            <v>31</v>
          </cell>
          <cell r="H167">
            <v>0</v>
          </cell>
          <cell r="I167">
            <v>5</v>
          </cell>
          <cell r="J167">
            <v>2</v>
          </cell>
          <cell r="K167">
            <v>24</v>
          </cell>
          <cell r="L167"/>
        </row>
        <row r="168">
          <cell r="B168" t="str">
            <v>SQFMD-0765</v>
          </cell>
          <cell r="C168" t="str">
            <v>Uttom Devnath</v>
          </cell>
          <cell r="D168" t="str">
            <v>Mechanic</v>
          </cell>
          <cell r="E168" t="str">
            <v>Technical</v>
          </cell>
          <cell r="F168">
            <v>45054</v>
          </cell>
          <cell r="G168">
            <v>31</v>
          </cell>
          <cell r="H168">
            <v>0</v>
          </cell>
          <cell r="I168">
            <v>5</v>
          </cell>
          <cell r="J168">
            <v>2</v>
          </cell>
          <cell r="K168">
            <v>24</v>
          </cell>
          <cell r="L168"/>
        </row>
        <row r="169">
          <cell r="B169" t="str">
            <v>SQFMD-0766</v>
          </cell>
          <cell r="C169" t="str">
            <v>Md. Abdur Rahman Sagor</v>
          </cell>
          <cell r="D169" t="str">
            <v>Trainee Engineer</v>
          </cell>
          <cell r="E169" t="str">
            <v>Technical</v>
          </cell>
          <cell r="F169">
            <v>45061</v>
          </cell>
          <cell r="G169">
            <v>31</v>
          </cell>
          <cell r="H169">
            <v>0</v>
          </cell>
          <cell r="I169">
            <v>5</v>
          </cell>
          <cell r="J169">
            <v>2</v>
          </cell>
          <cell r="K169">
            <v>24</v>
          </cell>
          <cell r="L169"/>
        </row>
        <row r="170">
          <cell r="B170" t="str">
            <v>SQFMD-0767</v>
          </cell>
          <cell r="C170" t="str">
            <v>Md. Azizul Hakim</v>
          </cell>
          <cell r="D170" t="str">
            <v>Trainee Engineer</v>
          </cell>
          <cell r="E170" t="str">
            <v>Technical</v>
          </cell>
          <cell r="F170">
            <v>45061</v>
          </cell>
          <cell r="G170">
            <v>31</v>
          </cell>
          <cell r="H170">
            <v>7</v>
          </cell>
          <cell r="I170">
            <v>5</v>
          </cell>
          <cell r="J170">
            <v>2</v>
          </cell>
          <cell r="K170">
            <v>17</v>
          </cell>
          <cell r="L170"/>
        </row>
        <row r="171">
          <cell r="B171" t="str">
            <v>SQFMD-0768</v>
          </cell>
          <cell r="C171" t="str">
            <v>Md. Asaduzzaman</v>
          </cell>
          <cell r="D171" t="str">
            <v>Trainee Engineer</v>
          </cell>
          <cell r="E171" t="str">
            <v>Technical</v>
          </cell>
          <cell r="F171">
            <v>45061</v>
          </cell>
          <cell r="G171">
            <v>31</v>
          </cell>
          <cell r="H171">
            <v>0</v>
          </cell>
          <cell r="I171">
            <v>5</v>
          </cell>
          <cell r="J171">
            <v>2</v>
          </cell>
          <cell r="K171">
            <v>24</v>
          </cell>
          <cell r="L171"/>
        </row>
        <row r="172">
          <cell r="B172" t="str">
            <v>SQFMD-0769</v>
          </cell>
          <cell r="C172" t="str">
            <v>Yeasin Hossain Khan</v>
          </cell>
          <cell r="D172" t="str">
            <v>Accounts Officer (S&amp;P)</v>
          </cell>
          <cell r="E172" t="str">
            <v>Finance &amp; Accounts</v>
          </cell>
          <cell r="F172">
            <v>45061</v>
          </cell>
          <cell r="G172">
            <v>31</v>
          </cell>
          <cell r="H172">
            <v>0</v>
          </cell>
          <cell r="I172">
            <v>5</v>
          </cell>
          <cell r="J172">
            <v>2</v>
          </cell>
          <cell r="K172">
            <v>24</v>
          </cell>
          <cell r="L172"/>
        </row>
        <row r="173">
          <cell r="B173" t="str">
            <v>SQFMD-0771</v>
          </cell>
          <cell r="C173" t="str">
            <v>Md. Saddam Hosen</v>
          </cell>
          <cell r="D173" t="str">
            <v>Driver</v>
          </cell>
          <cell r="E173" t="str">
            <v>Transport</v>
          </cell>
          <cell r="F173">
            <v>45059</v>
          </cell>
          <cell r="G173">
            <v>31</v>
          </cell>
          <cell r="H173">
            <v>0</v>
          </cell>
          <cell r="I173">
            <v>5</v>
          </cell>
          <cell r="J173">
            <v>2</v>
          </cell>
          <cell r="K173">
            <v>24</v>
          </cell>
          <cell r="L173"/>
        </row>
        <row r="174">
          <cell r="B174" t="str">
            <v>SQFMD-0772</v>
          </cell>
          <cell r="C174" t="str">
            <v>Md. Nazim Uddin</v>
          </cell>
          <cell r="D174" t="str">
            <v>Driver</v>
          </cell>
          <cell r="E174" t="str">
            <v>Transport</v>
          </cell>
          <cell r="F174">
            <v>45054</v>
          </cell>
          <cell r="G174">
            <v>31</v>
          </cell>
          <cell r="H174">
            <v>0</v>
          </cell>
          <cell r="I174">
            <v>5</v>
          </cell>
          <cell r="J174">
            <v>2</v>
          </cell>
          <cell r="K174">
            <v>24</v>
          </cell>
          <cell r="L174"/>
        </row>
        <row r="175">
          <cell r="B175" t="str">
            <v>SQFMD-0773</v>
          </cell>
          <cell r="C175" t="str">
            <v>Md Masud Ahmmed</v>
          </cell>
          <cell r="D175" t="str">
            <v>Driver</v>
          </cell>
          <cell r="E175" t="str">
            <v>Transport</v>
          </cell>
          <cell r="F175">
            <v>45071</v>
          </cell>
          <cell r="G175">
            <v>31</v>
          </cell>
          <cell r="H175">
            <v>9</v>
          </cell>
          <cell r="I175">
            <v>5</v>
          </cell>
          <cell r="J175">
            <v>2</v>
          </cell>
          <cell r="K175">
            <v>15</v>
          </cell>
          <cell r="L175"/>
        </row>
        <row r="176">
          <cell r="B176" t="str">
            <v>SQFMD-0774</v>
          </cell>
          <cell r="C176" t="str">
            <v>Md Mizanur Rahman</v>
          </cell>
          <cell r="D176" t="str">
            <v>Assistant Manager</v>
          </cell>
          <cell r="E176" t="str">
            <v>Seed</v>
          </cell>
          <cell r="F176">
            <v>45078</v>
          </cell>
          <cell r="G176">
            <v>31</v>
          </cell>
          <cell r="H176">
            <v>1</v>
          </cell>
          <cell r="I176">
            <v>5</v>
          </cell>
          <cell r="J176">
            <v>2</v>
          </cell>
          <cell r="K176">
            <v>23</v>
          </cell>
          <cell r="L176"/>
        </row>
        <row r="177">
          <cell r="B177" t="str">
            <v>SQFMD-0775</v>
          </cell>
          <cell r="C177" t="str">
            <v>Md Tahmedur Rahman</v>
          </cell>
          <cell r="D177" t="str">
            <v>Asst. Mechanic</v>
          </cell>
          <cell r="E177" t="str">
            <v>Technical</v>
          </cell>
          <cell r="F177">
            <v>45078</v>
          </cell>
          <cell r="G177">
            <v>31</v>
          </cell>
          <cell r="H177">
            <v>0</v>
          </cell>
          <cell r="I177">
            <v>5</v>
          </cell>
          <cell r="J177">
            <v>2</v>
          </cell>
          <cell r="K177">
            <v>24</v>
          </cell>
          <cell r="L177"/>
        </row>
        <row r="178">
          <cell r="B178" t="str">
            <v>SQFMD-0776</v>
          </cell>
          <cell r="C178" t="str">
            <v>Md Rubel Molla</v>
          </cell>
          <cell r="D178" t="str">
            <v>Driver</v>
          </cell>
          <cell r="E178" t="str">
            <v>Transport</v>
          </cell>
          <cell r="F178">
            <v>45088</v>
          </cell>
          <cell r="G178">
            <v>31</v>
          </cell>
          <cell r="H178">
            <v>0</v>
          </cell>
          <cell r="I178">
            <v>5</v>
          </cell>
          <cell r="J178">
            <v>2</v>
          </cell>
          <cell r="K178">
            <v>24</v>
          </cell>
          <cell r="L178"/>
        </row>
        <row r="179">
          <cell r="B179" t="str">
            <v>SQFMD-0777</v>
          </cell>
          <cell r="C179" t="str">
            <v>Md Azabul Hossen</v>
          </cell>
          <cell r="D179" t="str">
            <v>TSO</v>
          </cell>
          <cell r="E179" t="str">
            <v>Seed</v>
          </cell>
          <cell r="F179">
            <v>45088</v>
          </cell>
          <cell r="G179">
            <v>31</v>
          </cell>
          <cell r="H179">
            <v>0</v>
          </cell>
          <cell r="I179">
            <v>5</v>
          </cell>
          <cell r="J179">
            <v>2</v>
          </cell>
          <cell r="K179">
            <v>24</v>
          </cell>
          <cell r="L179"/>
        </row>
        <row r="180">
          <cell r="B180" t="str">
            <v>SQFMD-0778</v>
          </cell>
          <cell r="C180" t="str">
            <v>Md Tajul Islam</v>
          </cell>
          <cell r="D180" t="str">
            <v>Territory Manager</v>
          </cell>
          <cell r="E180" t="str">
            <v>Seed</v>
          </cell>
          <cell r="F180">
            <v>45094</v>
          </cell>
          <cell r="G180">
            <v>31</v>
          </cell>
          <cell r="H180">
            <v>0</v>
          </cell>
          <cell r="I180">
            <v>5</v>
          </cell>
          <cell r="J180">
            <v>2</v>
          </cell>
          <cell r="K180">
            <v>24</v>
          </cell>
          <cell r="L180"/>
        </row>
        <row r="181">
          <cell r="B181" t="str">
            <v>SQFMD-0780</v>
          </cell>
          <cell r="C181" t="str">
            <v>Md. Mizanur Rahman Milon</v>
          </cell>
          <cell r="D181" t="str">
            <v>Night Gurd</v>
          </cell>
          <cell r="E181" t="str">
            <v>Seed</v>
          </cell>
          <cell r="F181">
            <v>45078</v>
          </cell>
          <cell r="G181">
            <v>31</v>
          </cell>
          <cell r="H181">
            <v>0</v>
          </cell>
          <cell r="I181">
            <v>5</v>
          </cell>
          <cell r="J181">
            <v>2</v>
          </cell>
          <cell r="K181">
            <v>24</v>
          </cell>
          <cell r="L181"/>
        </row>
        <row r="182">
          <cell r="B182" t="str">
            <v>SQFMD-0781</v>
          </cell>
          <cell r="C182" t="str">
            <v>Md Jakir Hossan</v>
          </cell>
          <cell r="D182" t="str">
            <v>Sr. Mechanic</v>
          </cell>
          <cell r="E182" t="str">
            <v>Technical</v>
          </cell>
          <cell r="F182">
            <v>45113</v>
          </cell>
          <cell r="G182">
            <v>31</v>
          </cell>
          <cell r="H182">
            <v>0</v>
          </cell>
          <cell r="I182">
            <v>5</v>
          </cell>
          <cell r="J182">
            <v>2</v>
          </cell>
          <cell r="K182">
            <v>24</v>
          </cell>
          <cell r="L182"/>
        </row>
        <row r="183">
          <cell r="B183" t="str">
            <v>SQFMD-0782</v>
          </cell>
          <cell r="C183" t="str">
            <v>Md Akhtarul Alam</v>
          </cell>
          <cell r="D183" t="str">
            <v>AGM</v>
          </cell>
          <cell r="E183" t="str">
            <v>S&amp;M</v>
          </cell>
          <cell r="F183">
            <v>45112</v>
          </cell>
          <cell r="G183">
            <v>31</v>
          </cell>
          <cell r="H183">
            <v>6</v>
          </cell>
          <cell r="I183">
            <v>5</v>
          </cell>
          <cell r="J183">
            <v>2</v>
          </cell>
          <cell r="K183">
            <v>18</v>
          </cell>
          <cell r="L183"/>
        </row>
        <row r="184">
          <cell r="B184" t="str">
            <v>SQFMD-0783</v>
          </cell>
          <cell r="C184" t="str">
            <v>Nayem Iqbal</v>
          </cell>
          <cell r="D184" t="str">
            <v>Accounts Officer</v>
          </cell>
          <cell r="E184" t="str">
            <v>Finance &amp; Accounts</v>
          </cell>
          <cell r="F184">
            <v>45122</v>
          </cell>
          <cell r="G184">
            <v>31</v>
          </cell>
          <cell r="H184">
            <v>0</v>
          </cell>
          <cell r="I184">
            <v>5</v>
          </cell>
          <cell r="J184">
            <v>2</v>
          </cell>
          <cell r="K184">
            <v>24</v>
          </cell>
          <cell r="L184"/>
        </row>
        <row r="185">
          <cell r="B185" t="str">
            <v>SQFMD-0785</v>
          </cell>
          <cell r="C185" t="str">
            <v>Md Sultan Mia</v>
          </cell>
          <cell r="D185" t="str">
            <v>Office Assistant</v>
          </cell>
          <cell r="E185" t="str">
            <v>Seed</v>
          </cell>
          <cell r="F185">
            <v>45139</v>
          </cell>
          <cell r="G185">
            <v>31</v>
          </cell>
          <cell r="H185">
            <v>0</v>
          </cell>
          <cell r="I185">
            <v>5</v>
          </cell>
          <cell r="J185">
            <v>2</v>
          </cell>
          <cell r="K185">
            <v>24</v>
          </cell>
          <cell r="L185"/>
        </row>
        <row r="186">
          <cell r="B186" t="str">
            <v>SQFMD-0786</v>
          </cell>
          <cell r="C186" t="str">
            <v>Md Mazbahol Haque</v>
          </cell>
          <cell r="D186" t="str">
            <v>Territory Manager</v>
          </cell>
          <cell r="E186" t="str">
            <v>Seed</v>
          </cell>
          <cell r="F186">
            <v>45139</v>
          </cell>
          <cell r="G186">
            <v>31</v>
          </cell>
          <cell r="H186">
            <v>0</v>
          </cell>
          <cell r="I186">
            <v>5</v>
          </cell>
          <cell r="J186">
            <v>2</v>
          </cell>
          <cell r="K186">
            <v>24</v>
          </cell>
          <cell r="L186"/>
        </row>
        <row r="187">
          <cell r="B187" t="str">
            <v>SQFMD-0788</v>
          </cell>
          <cell r="C187" t="str">
            <v>Md Shamim Hossain</v>
          </cell>
          <cell r="D187" t="str">
            <v>Cleaner</v>
          </cell>
          <cell r="E187" t="str">
            <v>Admin</v>
          </cell>
          <cell r="F187">
            <v>44958</v>
          </cell>
          <cell r="G187">
            <v>31</v>
          </cell>
          <cell r="H187">
            <v>2</v>
          </cell>
          <cell r="I187">
            <v>5</v>
          </cell>
          <cell r="J187">
            <v>2</v>
          </cell>
          <cell r="K187">
            <v>22</v>
          </cell>
          <cell r="L187"/>
        </row>
        <row r="188">
          <cell r="B188" t="str">
            <v>SQFMD-0789</v>
          </cell>
          <cell r="C188" t="str">
            <v>Mohammad Nawshad Ali</v>
          </cell>
          <cell r="D188" t="str">
            <v>Accounts Officer</v>
          </cell>
          <cell r="E188" t="str">
            <v>Finance &amp; Accounts</v>
          </cell>
          <cell r="F188">
            <v>45154</v>
          </cell>
          <cell r="G188">
            <v>31</v>
          </cell>
          <cell r="H188">
            <v>1</v>
          </cell>
          <cell r="I188">
            <v>5</v>
          </cell>
          <cell r="J188">
            <v>2</v>
          </cell>
          <cell r="K188">
            <v>23</v>
          </cell>
          <cell r="L188"/>
        </row>
        <row r="189">
          <cell r="B189" t="str">
            <v>SQFMD-0791</v>
          </cell>
          <cell r="C189" t="str">
            <v>Md Rashidul Islam</v>
          </cell>
          <cell r="D189" t="str">
            <v>Mechanic</v>
          </cell>
          <cell r="E189" t="str">
            <v>Technical</v>
          </cell>
          <cell r="F189">
            <v>45150</v>
          </cell>
          <cell r="G189">
            <v>31</v>
          </cell>
          <cell r="H189">
            <v>0</v>
          </cell>
          <cell r="I189">
            <v>5</v>
          </cell>
          <cell r="J189">
            <v>2</v>
          </cell>
          <cell r="K189">
            <v>24</v>
          </cell>
          <cell r="L189"/>
        </row>
        <row r="190">
          <cell r="B190" t="str">
            <v>SQFMD-0797</v>
          </cell>
          <cell r="C190" t="str">
            <v>Bishojit Paul</v>
          </cell>
          <cell r="D190" t="str">
            <v>STSO</v>
          </cell>
          <cell r="E190" t="str">
            <v>S&amp;M</v>
          </cell>
          <cell r="F190">
            <v>45159</v>
          </cell>
          <cell r="G190">
            <v>31</v>
          </cell>
          <cell r="H190">
            <v>1</v>
          </cell>
          <cell r="I190">
            <v>5</v>
          </cell>
          <cell r="J190">
            <v>2</v>
          </cell>
          <cell r="K190">
            <v>23</v>
          </cell>
          <cell r="L190"/>
        </row>
        <row r="191">
          <cell r="B191" t="str">
            <v>SQFMD-0798</v>
          </cell>
          <cell r="C191" t="str">
            <v>Md Sobuj Mondal</v>
          </cell>
          <cell r="D191" t="str">
            <v>Sr. Mechanic</v>
          </cell>
          <cell r="E191" t="str">
            <v>Technical</v>
          </cell>
          <cell r="F191">
            <v>45155</v>
          </cell>
          <cell r="G191">
            <v>31</v>
          </cell>
          <cell r="H191">
            <v>0</v>
          </cell>
          <cell r="I191">
            <v>5</v>
          </cell>
          <cell r="J191">
            <v>2</v>
          </cell>
          <cell r="K191">
            <v>24</v>
          </cell>
          <cell r="L191"/>
        </row>
        <row r="192">
          <cell r="B192" t="str">
            <v>SQFMD-0800</v>
          </cell>
          <cell r="C192" t="str">
            <v>Byron Sarkar</v>
          </cell>
          <cell r="D192" t="str">
            <v>Mechanic</v>
          </cell>
          <cell r="E192" t="str">
            <v>Technical</v>
          </cell>
          <cell r="F192">
            <v>45157</v>
          </cell>
          <cell r="G192">
            <v>31</v>
          </cell>
          <cell r="H192">
            <v>5</v>
          </cell>
          <cell r="I192">
            <v>5</v>
          </cell>
          <cell r="J192">
            <v>2</v>
          </cell>
          <cell r="K192">
            <v>19</v>
          </cell>
          <cell r="L192"/>
        </row>
        <row r="193">
          <cell r="B193" t="str">
            <v>SQFMD-0802</v>
          </cell>
          <cell r="C193" t="str">
            <v>Modhu Sudhan Dev Sharma</v>
          </cell>
          <cell r="D193" t="str">
            <v>Mechanic</v>
          </cell>
          <cell r="E193" t="str">
            <v>Technical</v>
          </cell>
          <cell r="F193">
            <v>45160</v>
          </cell>
          <cell r="G193">
            <v>31</v>
          </cell>
          <cell r="H193">
            <v>3</v>
          </cell>
          <cell r="I193">
            <v>5</v>
          </cell>
          <cell r="J193">
            <v>2</v>
          </cell>
          <cell r="K193">
            <v>21</v>
          </cell>
          <cell r="L193"/>
        </row>
        <row r="194">
          <cell r="B194" t="str">
            <v>SQFMD-0803</v>
          </cell>
          <cell r="C194" t="str">
            <v>Md Rumman Shaikh</v>
          </cell>
          <cell r="D194" t="str">
            <v>Zonal Manager</v>
          </cell>
          <cell r="E194" t="str">
            <v>S&amp;M</v>
          </cell>
          <cell r="F194">
            <v>45171</v>
          </cell>
          <cell r="G194">
            <v>31</v>
          </cell>
          <cell r="H194">
            <v>0</v>
          </cell>
          <cell r="I194">
            <v>5</v>
          </cell>
          <cell r="J194">
            <v>2</v>
          </cell>
          <cell r="K194">
            <v>24</v>
          </cell>
          <cell r="L194"/>
        </row>
        <row r="195">
          <cell r="B195" t="str">
            <v>SQFMD-0804</v>
          </cell>
          <cell r="C195" t="str">
            <v>Md Liaqueat Ali</v>
          </cell>
          <cell r="D195" t="str">
            <v>Zonal Manager</v>
          </cell>
          <cell r="E195" t="str">
            <v>S&amp;M</v>
          </cell>
          <cell r="F195">
            <v>45171</v>
          </cell>
          <cell r="G195">
            <v>31</v>
          </cell>
          <cell r="H195">
            <v>2</v>
          </cell>
          <cell r="I195">
            <v>5</v>
          </cell>
          <cell r="J195">
            <v>2</v>
          </cell>
          <cell r="K195">
            <v>22</v>
          </cell>
          <cell r="L195"/>
        </row>
        <row r="196">
          <cell r="B196" t="str">
            <v>SQFMD-0805</v>
          </cell>
          <cell r="C196" t="str">
            <v>Tahmid Hasan Rakib</v>
          </cell>
          <cell r="D196" t="str">
            <v>Jr. Executive</v>
          </cell>
          <cell r="E196" t="str">
            <v>Audit &amp; Monitoring</v>
          </cell>
          <cell r="F196">
            <v>45171</v>
          </cell>
          <cell r="G196">
            <v>31</v>
          </cell>
          <cell r="H196">
            <v>0</v>
          </cell>
          <cell r="I196">
            <v>5</v>
          </cell>
          <cell r="J196">
            <v>2</v>
          </cell>
          <cell r="K196">
            <v>24</v>
          </cell>
          <cell r="L196"/>
        </row>
        <row r="197">
          <cell r="B197" t="str">
            <v>SQFMD-0806</v>
          </cell>
          <cell r="C197" t="str">
            <v>Md Adib Daiyan</v>
          </cell>
          <cell r="D197" t="str">
            <v>Sr. Executive</v>
          </cell>
          <cell r="E197" t="str">
            <v>Audit &amp; Monitoring</v>
          </cell>
          <cell r="F197">
            <v>45171</v>
          </cell>
          <cell r="G197">
            <v>31</v>
          </cell>
          <cell r="H197">
            <v>0</v>
          </cell>
          <cell r="I197">
            <v>5</v>
          </cell>
          <cell r="J197">
            <v>2</v>
          </cell>
          <cell r="K197">
            <v>24</v>
          </cell>
          <cell r="L197"/>
        </row>
        <row r="198">
          <cell r="B198" t="str">
            <v>SQFMD-0807</v>
          </cell>
          <cell r="C198" t="str">
            <v>CAHM Enayetullah</v>
          </cell>
          <cell r="D198" t="str">
            <v>Consultant</v>
          </cell>
          <cell r="E198" t="str">
            <v>Finance &amp; Accounts</v>
          </cell>
          <cell r="F198">
            <v>45171</v>
          </cell>
          <cell r="G198">
            <v>31</v>
          </cell>
          <cell r="H198">
            <v>0</v>
          </cell>
          <cell r="I198">
            <v>5</v>
          </cell>
          <cell r="J198">
            <v>2</v>
          </cell>
          <cell r="K198">
            <v>24</v>
          </cell>
          <cell r="L198"/>
        </row>
        <row r="199">
          <cell r="B199" t="str">
            <v>SQFMD-0808</v>
          </cell>
          <cell r="C199" t="str">
            <v>Hiru Miah</v>
          </cell>
          <cell r="D199" t="str">
            <v>Sr. Territory Sales officer</v>
          </cell>
          <cell r="E199" t="str">
            <v>S&amp;M</v>
          </cell>
          <cell r="F199">
            <v>45171</v>
          </cell>
          <cell r="G199">
            <v>31</v>
          </cell>
          <cell r="H199">
            <v>0</v>
          </cell>
          <cell r="I199">
            <v>5</v>
          </cell>
          <cell r="J199">
            <v>2</v>
          </cell>
          <cell r="K199">
            <v>24</v>
          </cell>
          <cell r="L199"/>
        </row>
        <row r="200">
          <cell r="B200" t="str">
            <v>SQFMD-0809</v>
          </cell>
          <cell r="C200" t="str">
            <v>Md Alamin</v>
          </cell>
          <cell r="D200" t="str">
            <v>Sr. Territory Sales officer</v>
          </cell>
          <cell r="E200" t="str">
            <v>S&amp;M</v>
          </cell>
          <cell r="F200">
            <v>45171</v>
          </cell>
          <cell r="G200">
            <v>31</v>
          </cell>
          <cell r="H200">
            <v>2</v>
          </cell>
          <cell r="I200">
            <v>5</v>
          </cell>
          <cell r="J200">
            <v>2</v>
          </cell>
          <cell r="K200">
            <v>22</v>
          </cell>
          <cell r="L200"/>
        </row>
        <row r="201">
          <cell r="B201" t="str">
            <v>SQFMD-0812</v>
          </cell>
          <cell r="C201" t="str">
            <v>Md Noor Islam</v>
          </cell>
          <cell r="D201" t="str">
            <v>Sr. Territory Sales officer</v>
          </cell>
          <cell r="E201" t="str">
            <v>S&amp;M</v>
          </cell>
          <cell r="F201">
            <v>45171</v>
          </cell>
          <cell r="G201">
            <v>31</v>
          </cell>
          <cell r="H201">
            <v>0</v>
          </cell>
          <cell r="I201">
            <v>5</v>
          </cell>
          <cell r="J201">
            <v>2</v>
          </cell>
          <cell r="K201">
            <v>24</v>
          </cell>
          <cell r="L201"/>
        </row>
        <row r="202">
          <cell r="B202" t="str">
            <v>SQFMD-0813</v>
          </cell>
          <cell r="C202" t="str">
            <v>Md Rakibul Hasan</v>
          </cell>
          <cell r="D202" t="str">
            <v>Sr. Territory Sales officer</v>
          </cell>
          <cell r="E202" t="str">
            <v>S&amp;M</v>
          </cell>
          <cell r="F202">
            <v>45171</v>
          </cell>
          <cell r="G202">
            <v>31</v>
          </cell>
          <cell r="H202">
            <v>0</v>
          </cell>
          <cell r="I202">
            <v>5</v>
          </cell>
          <cell r="J202">
            <v>2</v>
          </cell>
          <cell r="K202">
            <v>24</v>
          </cell>
          <cell r="L202"/>
        </row>
        <row r="203">
          <cell r="B203" t="str">
            <v>SQFMD-0817</v>
          </cell>
          <cell r="C203" t="str">
            <v>Md Rabbi Hossain</v>
          </cell>
          <cell r="D203" t="str">
            <v>Mechanic</v>
          </cell>
          <cell r="E203" t="str">
            <v>Technical</v>
          </cell>
          <cell r="F203">
            <v>45181</v>
          </cell>
          <cell r="G203">
            <v>31</v>
          </cell>
          <cell r="H203">
            <v>1</v>
          </cell>
          <cell r="I203">
            <v>5</v>
          </cell>
          <cell r="J203">
            <v>2</v>
          </cell>
          <cell r="K203">
            <v>23</v>
          </cell>
          <cell r="L203"/>
        </row>
        <row r="204">
          <cell r="B204" t="str">
            <v>SQFMD-0818</v>
          </cell>
          <cell r="C204" t="str">
            <v>AKM Asif Iqbal</v>
          </cell>
          <cell r="D204" t="str">
            <v>Territory Manger</v>
          </cell>
          <cell r="E204" t="str">
            <v>S&amp;M</v>
          </cell>
          <cell r="F204">
            <v>45183</v>
          </cell>
          <cell r="G204">
            <v>31</v>
          </cell>
          <cell r="H204">
            <v>2</v>
          </cell>
          <cell r="I204">
            <v>5</v>
          </cell>
          <cell r="J204">
            <v>2</v>
          </cell>
          <cell r="K204">
            <v>22</v>
          </cell>
          <cell r="L204"/>
        </row>
        <row r="205">
          <cell r="B205" t="str">
            <v>SQFMD-0819</v>
          </cell>
          <cell r="C205" t="str">
            <v>Md Abdul Mazed Mondal</v>
          </cell>
          <cell r="D205" t="str">
            <v>Sr. Territory Sales officer</v>
          </cell>
          <cell r="E205" t="str">
            <v>S&amp;M</v>
          </cell>
          <cell r="F205">
            <v>45183</v>
          </cell>
          <cell r="G205">
            <v>31</v>
          </cell>
          <cell r="H205">
            <v>0</v>
          </cell>
          <cell r="I205">
            <v>5</v>
          </cell>
          <cell r="J205">
            <v>2</v>
          </cell>
          <cell r="K205">
            <v>24</v>
          </cell>
          <cell r="L205"/>
        </row>
        <row r="206">
          <cell r="B206" t="str">
            <v>SQFMD-0820</v>
          </cell>
          <cell r="C206" t="str">
            <v>Md Monir Hossain</v>
          </cell>
          <cell r="D206" t="str">
            <v>Mechanic</v>
          </cell>
          <cell r="E206" t="str">
            <v>Technical</v>
          </cell>
          <cell r="F206">
            <v>45183</v>
          </cell>
          <cell r="G206">
            <v>31</v>
          </cell>
          <cell r="H206">
            <v>0</v>
          </cell>
          <cell r="I206">
            <v>5</v>
          </cell>
          <cell r="J206">
            <v>2</v>
          </cell>
          <cell r="K206">
            <v>24</v>
          </cell>
          <cell r="L206"/>
        </row>
        <row r="207">
          <cell r="B207" t="str">
            <v>SQFMD-0822</v>
          </cell>
          <cell r="C207" t="str">
            <v>Md Muradul Momin Murad</v>
          </cell>
          <cell r="D207" t="str">
            <v>Sr. Territory Sales officer</v>
          </cell>
          <cell r="E207" t="str">
            <v>Seed</v>
          </cell>
          <cell r="F207">
            <v>45185</v>
          </cell>
          <cell r="G207">
            <v>31</v>
          </cell>
          <cell r="H207">
            <v>1</v>
          </cell>
          <cell r="I207">
            <v>5</v>
          </cell>
          <cell r="J207">
            <v>2</v>
          </cell>
          <cell r="K207">
            <v>23</v>
          </cell>
          <cell r="L207"/>
        </row>
        <row r="208">
          <cell r="B208" t="str">
            <v>SQFMD-0823</v>
          </cell>
          <cell r="C208" t="str">
            <v>Babul Miah</v>
          </cell>
          <cell r="D208" t="str">
            <v>Mechanic</v>
          </cell>
          <cell r="E208" t="str">
            <v>Technical</v>
          </cell>
          <cell r="F208">
            <v>45185</v>
          </cell>
          <cell r="G208">
            <v>31</v>
          </cell>
          <cell r="H208">
            <v>0</v>
          </cell>
          <cell r="I208">
            <v>5</v>
          </cell>
          <cell r="J208">
            <v>2</v>
          </cell>
          <cell r="K208">
            <v>24</v>
          </cell>
          <cell r="L208"/>
        </row>
        <row r="209">
          <cell r="B209" t="str">
            <v>SQFMD-0825</v>
          </cell>
          <cell r="C209" t="str">
            <v>Md Raihan Hossain</v>
          </cell>
          <cell r="D209" t="str">
            <v>Mechanic</v>
          </cell>
          <cell r="E209" t="str">
            <v>Technical</v>
          </cell>
          <cell r="F209">
            <v>45185</v>
          </cell>
          <cell r="G209">
            <v>31</v>
          </cell>
          <cell r="H209">
            <v>0</v>
          </cell>
          <cell r="I209">
            <v>5</v>
          </cell>
          <cell r="J209">
            <v>2</v>
          </cell>
          <cell r="K209">
            <v>24</v>
          </cell>
          <cell r="L209"/>
        </row>
        <row r="210">
          <cell r="B210" t="str">
            <v>SQFMD-0827</v>
          </cell>
          <cell r="C210" t="str">
            <v>Hamza Masud</v>
          </cell>
          <cell r="D210" t="str">
            <v>Mechanic</v>
          </cell>
          <cell r="E210" t="str">
            <v>Technical</v>
          </cell>
          <cell r="F210">
            <v>45185</v>
          </cell>
          <cell r="G210">
            <v>31</v>
          </cell>
          <cell r="H210">
            <v>0</v>
          </cell>
          <cell r="I210">
            <v>5</v>
          </cell>
          <cell r="J210">
            <v>2</v>
          </cell>
          <cell r="K210">
            <v>24</v>
          </cell>
          <cell r="L210"/>
        </row>
        <row r="211">
          <cell r="B211" t="str">
            <v>SQFMD-0828</v>
          </cell>
          <cell r="C211" t="str">
            <v>Md Sayful Alam</v>
          </cell>
          <cell r="D211" t="str">
            <v>Driver</v>
          </cell>
          <cell r="E211" t="str">
            <v>Transport</v>
          </cell>
          <cell r="F211">
            <v>45193</v>
          </cell>
          <cell r="G211">
            <v>31</v>
          </cell>
          <cell r="H211">
            <v>0</v>
          </cell>
          <cell r="I211">
            <v>5</v>
          </cell>
          <cell r="J211">
            <v>2</v>
          </cell>
          <cell r="K211">
            <v>24</v>
          </cell>
          <cell r="L211"/>
        </row>
        <row r="212">
          <cell r="B212" t="str">
            <v>SQFMD-0829</v>
          </cell>
          <cell r="C212" t="str">
            <v>Rasel Mollah</v>
          </cell>
          <cell r="D212" t="str">
            <v>Territory Manager</v>
          </cell>
          <cell r="E212" t="str">
            <v>S&amp;M</v>
          </cell>
          <cell r="F212">
            <v>45192</v>
          </cell>
          <cell r="G212">
            <v>31</v>
          </cell>
          <cell r="H212">
            <v>1</v>
          </cell>
          <cell r="I212">
            <v>5</v>
          </cell>
          <cell r="J212">
            <v>2</v>
          </cell>
          <cell r="K212">
            <v>23</v>
          </cell>
          <cell r="L212"/>
        </row>
        <row r="213">
          <cell r="B213" t="str">
            <v>SQFMD-0831</v>
          </cell>
          <cell r="C213" t="str">
            <v>Md Abdus Muntakimu Islam</v>
          </cell>
          <cell r="D213" t="str">
            <v>Sr. Territory Sales Officer</v>
          </cell>
          <cell r="E213" t="str">
            <v>S&amp;M</v>
          </cell>
          <cell r="F213">
            <v>45194</v>
          </cell>
          <cell r="G213">
            <v>31</v>
          </cell>
          <cell r="H213">
            <v>0</v>
          </cell>
          <cell r="I213">
            <v>5</v>
          </cell>
          <cell r="J213">
            <v>2</v>
          </cell>
          <cell r="K213">
            <v>24</v>
          </cell>
          <cell r="L213"/>
        </row>
        <row r="214">
          <cell r="B214" t="str">
            <v>SQFMD-0832</v>
          </cell>
          <cell r="C214" t="str">
            <v>Md Hasnatul Alam</v>
          </cell>
          <cell r="D214" t="str">
            <v>Territory Manager</v>
          </cell>
          <cell r="E214" t="str">
            <v>S&amp;M</v>
          </cell>
          <cell r="F214">
            <v>45206</v>
          </cell>
          <cell r="G214">
            <v>31</v>
          </cell>
          <cell r="H214">
            <v>2</v>
          </cell>
          <cell r="I214">
            <v>5</v>
          </cell>
          <cell r="J214">
            <v>2</v>
          </cell>
          <cell r="K214">
            <v>22</v>
          </cell>
          <cell r="L214"/>
        </row>
        <row r="215">
          <cell r="B215" t="str">
            <v>SQFMD-0834</v>
          </cell>
          <cell r="C215" t="str">
            <v>Manuel Halder</v>
          </cell>
          <cell r="D215" t="str">
            <v>Territory Manager</v>
          </cell>
          <cell r="E215" t="str">
            <v>S&amp;M</v>
          </cell>
          <cell r="F215">
            <v>45199</v>
          </cell>
          <cell r="G215">
            <v>31</v>
          </cell>
          <cell r="H215">
            <v>0</v>
          </cell>
          <cell r="I215">
            <v>5</v>
          </cell>
          <cell r="J215">
            <v>2</v>
          </cell>
          <cell r="K215">
            <v>24</v>
          </cell>
          <cell r="L215"/>
        </row>
        <row r="216">
          <cell r="B216" t="str">
            <v>SQFMD-0835</v>
          </cell>
          <cell r="C216" t="str">
            <v>Md Nishad Hossain</v>
          </cell>
          <cell r="D216" t="str">
            <v>Mechanic</v>
          </cell>
          <cell r="E216" t="str">
            <v>Technical</v>
          </cell>
          <cell r="F216">
            <v>45197</v>
          </cell>
          <cell r="G216">
            <v>31</v>
          </cell>
          <cell r="H216">
            <v>0</v>
          </cell>
          <cell r="I216">
            <v>5</v>
          </cell>
          <cell r="J216">
            <v>2</v>
          </cell>
          <cell r="K216">
            <v>24</v>
          </cell>
          <cell r="L216"/>
        </row>
        <row r="217">
          <cell r="B217" t="str">
            <v>SQFMD-0836</v>
          </cell>
          <cell r="C217" t="str">
            <v>Md Ashraful Islam</v>
          </cell>
          <cell r="D217" t="str">
            <v>Sr. Territory Sales Officer</v>
          </cell>
          <cell r="E217" t="str">
            <v>S&amp;M</v>
          </cell>
          <cell r="F217">
            <v>45213</v>
          </cell>
          <cell r="G217">
            <v>31</v>
          </cell>
          <cell r="H217">
            <v>0</v>
          </cell>
          <cell r="I217">
            <v>5</v>
          </cell>
          <cell r="J217">
            <v>2</v>
          </cell>
          <cell r="K217">
            <v>24</v>
          </cell>
          <cell r="L217"/>
        </row>
        <row r="218">
          <cell r="B218" t="str">
            <v>SQFMD-0837</v>
          </cell>
          <cell r="C218" t="str">
            <v>Md Rashedul Islam</v>
          </cell>
          <cell r="D218" t="str">
            <v>Office Executive</v>
          </cell>
          <cell r="E218" t="str">
            <v>Store &amp; Logistics</v>
          </cell>
          <cell r="F218">
            <v>45206</v>
          </cell>
          <cell r="G218">
            <v>31</v>
          </cell>
          <cell r="H218">
            <v>0</v>
          </cell>
          <cell r="I218">
            <v>5</v>
          </cell>
          <cell r="J218">
            <v>2</v>
          </cell>
          <cell r="K218">
            <v>24</v>
          </cell>
          <cell r="L218"/>
        </row>
        <row r="219">
          <cell r="B219" t="str">
            <v>SQFMD-0840</v>
          </cell>
          <cell r="C219" t="str">
            <v>Polash Chandro Roy</v>
          </cell>
          <cell r="D219" t="str">
            <v>Mechanic</v>
          </cell>
          <cell r="E219" t="str">
            <v>Technical</v>
          </cell>
          <cell r="F219">
            <v>45216</v>
          </cell>
          <cell r="G219">
            <v>31</v>
          </cell>
          <cell r="H219">
            <v>3</v>
          </cell>
          <cell r="I219">
            <v>5</v>
          </cell>
          <cell r="J219">
            <v>2</v>
          </cell>
          <cell r="K219">
            <v>21</v>
          </cell>
          <cell r="L219"/>
        </row>
        <row r="220">
          <cell r="B220" t="str">
            <v>SQFMD-0841</v>
          </cell>
          <cell r="C220" t="str">
            <v>Md Harun Ur Rosud</v>
          </cell>
          <cell r="D220" t="str">
            <v>Mechanic</v>
          </cell>
          <cell r="E220" t="str">
            <v>Technical</v>
          </cell>
          <cell r="F220">
            <v>45213</v>
          </cell>
          <cell r="G220">
            <v>31</v>
          </cell>
          <cell r="H220">
            <v>2</v>
          </cell>
          <cell r="I220">
            <v>5</v>
          </cell>
          <cell r="J220">
            <v>2</v>
          </cell>
          <cell r="K220">
            <v>22</v>
          </cell>
          <cell r="L220"/>
        </row>
        <row r="221">
          <cell r="B221" t="str">
            <v>SQFMD-0842</v>
          </cell>
          <cell r="C221" t="str">
            <v>Md Abdul Barek</v>
          </cell>
          <cell r="D221" t="str">
            <v>Mechanic</v>
          </cell>
          <cell r="E221" t="str">
            <v>Technical</v>
          </cell>
          <cell r="F221">
            <v>45213</v>
          </cell>
          <cell r="G221">
            <v>31</v>
          </cell>
          <cell r="H221">
            <v>0</v>
          </cell>
          <cell r="I221">
            <v>5</v>
          </cell>
          <cell r="J221">
            <v>2</v>
          </cell>
          <cell r="K221">
            <v>24</v>
          </cell>
          <cell r="L221"/>
        </row>
        <row r="222">
          <cell r="B222" t="str">
            <v>SQFMD-0843</v>
          </cell>
          <cell r="C222" t="str">
            <v>Lablu Answeri</v>
          </cell>
          <cell r="D222" t="str">
            <v>Assistant Territory Sales officer</v>
          </cell>
          <cell r="E222" t="str">
            <v>S&amp;M</v>
          </cell>
          <cell r="F222">
            <v>45231</v>
          </cell>
          <cell r="G222">
            <v>31</v>
          </cell>
          <cell r="H222">
            <v>0</v>
          </cell>
          <cell r="I222">
            <v>5</v>
          </cell>
          <cell r="J222">
            <v>2</v>
          </cell>
          <cell r="K222">
            <v>24</v>
          </cell>
          <cell r="L222"/>
        </row>
        <row r="223">
          <cell r="B223" t="str">
            <v>SQFMD-0844</v>
          </cell>
          <cell r="C223" t="str">
            <v>Achinta Roy</v>
          </cell>
          <cell r="D223" t="str">
            <v>Territory Sales officer</v>
          </cell>
          <cell r="E223" t="str">
            <v>S&amp;M</v>
          </cell>
          <cell r="F223">
            <v>45234</v>
          </cell>
          <cell r="G223">
            <v>31</v>
          </cell>
          <cell r="H223">
            <v>0</v>
          </cell>
          <cell r="I223">
            <v>5</v>
          </cell>
          <cell r="J223">
            <v>2</v>
          </cell>
          <cell r="K223">
            <v>24</v>
          </cell>
          <cell r="L223"/>
        </row>
        <row r="224">
          <cell r="B224" t="str">
            <v>SQFMD-0845</v>
          </cell>
          <cell r="C224" t="str">
            <v>Md Gias Uddin</v>
          </cell>
          <cell r="D224" t="str">
            <v>Sr. Territory Manager</v>
          </cell>
          <cell r="E224" t="str">
            <v>S&amp;M</v>
          </cell>
          <cell r="F224">
            <v>45234</v>
          </cell>
          <cell r="G224">
            <v>31</v>
          </cell>
          <cell r="H224">
            <v>0</v>
          </cell>
          <cell r="I224">
            <v>5</v>
          </cell>
          <cell r="J224">
            <v>2</v>
          </cell>
          <cell r="K224">
            <v>24</v>
          </cell>
          <cell r="L224"/>
        </row>
        <row r="225">
          <cell r="B225" t="str">
            <v>SQFMD-0846</v>
          </cell>
          <cell r="C225" t="str">
            <v>Uttam Kumar Roy</v>
          </cell>
          <cell r="D225" t="str">
            <v>Sr. Territory Sales Officer</v>
          </cell>
          <cell r="E225" t="str">
            <v>S&amp;M</v>
          </cell>
          <cell r="F225">
            <v>45231</v>
          </cell>
          <cell r="G225">
            <v>31</v>
          </cell>
          <cell r="H225">
            <v>0</v>
          </cell>
          <cell r="I225">
            <v>5</v>
          </cell>
          <cell r="J225">
            <v>2</v>
          </cell>
          <cell r="K225">
            <v>24</v>
          </cell>
          <cell r="L225"/>
        </row>
        <row r="226">
          <cell r="B226" t="str">
            <v>SQFMD-0847</v>
          </cell>
          <cell r="C226" t="str">
            <v>Md Alamgir Hossain</v>
          </cell>
          <cell r="D226" t="str">
            <v>Sr. Territory Manager (Pesticide)</v>
          </cell>
          <cell r="E226" t="str">
            <v>S&amp;M</v>
          </cell>
          <cell r="F226">
            <v>45245</v>
          </cell>
          <cell r="G226">
            <v>31</v>
          </cell>
          <cell r="H226">
            <v>1</v>
          </cell>
          <cell r="I226">
            <v>5</v>
          </cell>
          <cell r="J226">
            <v>2</v>
          </cell>
          <cell r="K226">
            <v>23</v>
          </cell>
          <cell r="L226"/>
        </row>
        <row r="227">
          <cell r="B227" t="str">
            <v>SQFMD-0848</v>
          </cell>
          <cell r="C227" t="str">
            <v>Md Radoan Ahamed</v>
          </cell>
          <cell r="D227" t="str">
            <v>Deputy Manager</v>
          </cell>
          <cell r="E227" t="str">
            <v>Spare &amp; Parts</v>
          </cell>
          <cell r="F227">
            <v>45241</v>
          </cell>
          <cell r="G227">
            <v>31</v>
          </cell>
          <cell r="H227">
            <v>0</v>
          </cell>
          <cell r="I227">
            <v>5</v>
          </cell>
          <cell r="J227">
            <v>2</v>
          </cell>
          <cell r="K227">
            <v>24</v>
          </cell>
          <cell r="L227"/>
        </row>
        <row r="228">
          <cell r="B228" t="str">
            <v>SQFMD-0849</v>
          </cell>
          <cell r="C228" t="str">
            <v>Md Sohel Rana</v>
          </cell>
          <cell r="D228" t="str">
            <v>Territory Manager (Recovery)</v>
          </cell>
          <cell r="E228" t="str">
            <v>CRRM</v>
          </cell>
          <cell r="F228">
            <v>45241</v>
          </cell>
          <cell r="G228">
            <v>31</v>
          </cell>
          <cell r="H228">
            <v>0</v>
          </cell>
          <cell r="I228">
            <v>5</v>
          </cell>
          <cell r="J228">
            <v>2</v>
          </cell>
          <cell r="K228">
            <v>24</v>
          </cell>
          <cell r="L228"/>
        </row>
        <row r="229">
          <cell r="B229" t="str">
            <v>SQFMD-0850</v>
          </cell>
          <cell r="C229" t="str">
            <v>Md Mokhtar Hossen</v>
          </cell>
          <cell r="D229" t="str">
            <v>Recovery Officer</v>
          </cell>
          <cell r="E229" t="str">
            <v>CRRM</v>
          </cell>
          <cell r="F229">
            <v>45250</v>
          </cell>
          <cell r="G229">
            <v>31</v>
          </cell>
          <cell r="H229">
            <v>3</v>
          </cell>
          <cell r="I229">
            <v>5</v>
          </cell>
          <cell r="J229">
            <v>2</v>
          </cell>
          <cell r="K229">
            <v>21</v>
          </cell>
          <cell r="L229"/>
        </row>
        <row r="230">
          <cell r="B230" t="str">
            <v>SQFMD-0852</v>
          </cell>
          <cell r="C230" t="str">
            <v>Md Bipul Pramanik</v>
          </cell>
          <cell r="D230" t="str">
            <v>Mechanic</v>
          </cell>
          <cell r="E230" t="str">
            <v>Technical</v>
          </cell>
          <cell r="F230">
            <v>45234</v>
          </cell>
          <cell r="G230">
            <v>31</v>
          </cell>
          <cell r="H230">
            <v>0</v>
          </cell>
          <cell r="I230">
            <v>5</v>
          </cell>
          <cell r="J230">
            <v>2</v>
          </cell>
          <cell r="K230">
            <v>24</v>
          </cell>
          <cell r="L230"/>
        </row>
        <row r="231">
          <cell r="B231" t="str">
            <v>SQFMD-0853</v>
          </cell>
          <cell r="C231" t="str">
            <v>Md Nazmul Islam khandokar</v>
          </cell>
          <cell r="D231" t="str">
            <v>Recovery Officer</v>
          </cell>
          <cell r="E231" t="str">
            <v>CRRM</v>
          </cell>
          <cell r="F231">
            <v>45255</v>
          </cell>
          <cell r="G231">
            <v>31</v>
          </cell>
          <cell r="H231">
            <v>0</v>
          </cell>
          <cell r="I231">
            <v>5</v>
          </cell>
          <cell r="J231">
            <v>2</v>
          </cell>
          <cell r="K231">
            <v>24</v>
          </cell>
          <cell r="L231"/>
        </row>
        <row r="232">
          <cell r="B232" t="str">
            <v>SQFMD-0854</v>
          </cell>
          <cell r="C232" t="str">
            <v>Md Shamim Hosan</v>
          </cell>
          <cell r="D232" t="str">
            <v>Asst. Mechanic</v>
          </cell>
          <cell r="E232" t="str">
            <v>Technical</v>
          </cell>
          <cell r="F232">
            <v>45245</v>
          </cell>
          <cell r="G232">
            <v>31</v>
          </cell>
          <cell r="H232">
            <v>0</v>
          </cell>
          <cell r="I232">
            <v>5</v>
          </cell>
          <cell r="J232">
            <v>2</v>
          </cell>
          <cell r="K232">
            <v>24</v>
          </cell>
          <cell r="L232"/>
        </row>
        <row r="233">
          <cell r="B233" t="str">
            <v>SQFMD-0855</v>
          </cell>
          <cell r="C233" t="str">
            <v>Md Rashidul Islam</v>
          </cell>
          <cell r="D233" t="str">
            <v>Mechanic</v>
          </cell>
          <cell r="E233" t="str">
            <v>Technical</v>
          </cell>
          <cell r="F233">
            <v>45245</v>
          </cell>
          <cell r="G233">
            <v>31</v>
          </cell>
          <cell r="H233">
            <v>0</v>
          </cell>
          <cell r="I233">
            <v>5</v>
          </cell>
          <cell r="J233">
            <v>2</v>
          </cell>
          <cell r="K233">
            <v>24</v>
          </cell>
          <cell r="L233"/>
        </row>
        <row r="234">
          <cell r="B234" t="str">
            <v>SQFMD-0856</v>
          </cell>
          <cell r="C234" t="str">
            <v>Md Jahid Hasan</v>
          </cell>
          <cell r="D234" t="str">
            <v>Asst. Regional Manager</v>
          </cell>
          <cell r="E234" t="str">
            <v>S&amp;M</v>
          </cell>
          <cell r="F234">
            <v>45250</v>
          </cell>
          <cell r="G234">
            <v>31</v>
          </cell>
          <cell r="H234">
            <v>0</v>
          </cell>
          <cell r="I234">
            <v>5</v>
          </cell>
          <cell r="J234">
            <v>2</v>
          </cell>
          <cell r="K234">
            <v>24</v>
          </cell>
          <cell r="L234"/>
        </row>
        <row r="235">
          <cell r="B235" t="str">
            <v>SQFMD-0857</v>
          </cell>
          <cell r="C235" t="str">
            <v>Md Sumon Mia</v>
          </cell>
          <cell r="D235" t="str">
            <v>Mechanic</v>
          </cell>
          <cell r="E235" t="str">
            <v>Technical</v>
          </cell>
          <cell r="F235">
            <v>45255</v>
          </cell>
          <cell r="G235">
            <v>31</v>
          </cell>
          <cell r="H235">
            <v>0</v>
          </cell>
          <cell r="I235">
            <v>5</v>
          </cell>
          <cell r="J235">
            <v>2</v>
          </cell>
          <cell r="K235">
            <v>24</v>
          </cell>
          <cell r="L235">
            <v>21</v>
          </cell>
        </row>
        <row r="236">
          <cell r="B236" t="str">
            <v>SQFMD-0858</v>
          </cell>
          <cell r="C236" t="str">
            <v>Mamun Mia</v>
          </cell>
          <cell r="D236" t="str">
            <v>Mechanic</v>
          </cell>
          <cell r="E236" t="str">
            <v>Technical</v>
          </cell>
          <cell r="F236">
            <v>45255</v>
          </cell>
          <cell r="G236">
            <v>31</v>
          </cell>
          <cell r="H236">
            <v>0</v>
          </cell>
          <cell r="I236">
            <v>5</v>
          </cell>
          <cell r="J236">
            <v>2</v>
          </cell>
          <cell r="K236">
            <v>24</v>
          </cell>
          <cell r="L236">
            <v>10</v>
          </cell>
        </row>
        <row r="237">
          <cell r="B237" t="str">
            <v>SQFMD-0860</v>
          </cell>
          <cell r="C237" t="str">
            <v>Md Amirul Islam</v>
          </cell>
          <cell r="D237" t="str">
            <v>Territory Sales officer</v>
          </cell>
          <cell r="E237" t="str">
            <v>Pesticide &amp; Fertilizer</v>
          </cell>
          <cell r="F237">
            <v>45262</v>
          </cell>
          <cell r="G237">
            <v>31</v>
          </cell>
          <cell r="H237">
            <v>0</v>
          </cell>
          <cell r="I237">
            <v>5</v>
          </cell>
          <cell r="J237">
            <v>2</v>
          </cell>
          <cell r="K237">
            <v>24</v>
          </cell>
          <cell r="L237"/>
        </row>
        <row r="238">
          <cell r="B238" t="str">
            <v>SQFMD-0861</v>
          </cell>
          <cell r="C238" t="str">
            <v>Md Nayeem Akhter</v>
          </cell>
          <cell r="D238" t="str">
            <v>Deputy Manager</v>
          </cell>
          <cell r="E238" t="str">
            <v>S&amp;M</v>
          </cell>
          <cell r="F238">
            <v>45262</v>
          </cell>
          <cell r="G238">
            <v>31</v>
          </cell>
          <cell r="H238">
            <v>0</v>
          </cell>
          <cell r="I238">
            <v>5</v>
          </cell>
          <cell r="J238">
            <v>2</v>
          </cell>
          <cell r="K238">
            <v>24</v>
          </cell>
          <cell r="L238"/>
        </row>
        <row r="239">
          <cell r="B239" t="str">
            <v>SQFMD-0863</v>
          </cell>
          <cell r="C239" t="str">
            <v>Md Alamin</v>
          </cell>
          <cell r="D239" t="str">
            <v>Mechanic</v>
          </cell>
          <cell r="E239" t="str">
            <v>Technical</v>
          </cell>
          <cell r="F239">
            <v>45262</v>
          </cell>
          <cell r="G239">
            <v>31</v>
          </cell>
          <cell r="H239">
            <v>0</v>
          </cell>
          <cell r="I239">
            <v>5</v>
          </cell>
          <cell r="J239">
            <v>2</v>
          </cell>
          <cell r="K239">
            <v>24</v>
          </cell>
          <cell r="L239">
            <v>2</v>
          </cell>
        </row>
        <row r="240">
          <cell r="B240" t="str">
            <v>SQFMD-0864</v>
          </cell>
          <cell r="C240" t="str">
            <v>Md Minarul Islam</v>
          </cell>
          <cell r="D240" t="str">
            <v>Territory Sales officer</v>
          </cell>
          <cell r="E240" t="str">
            <v>Pesticide &amp; Fertilizer</v>
          </cell>
          <cell r="F240">
            <v>45265</v>
          </cell>
          <cell r="G240">
            <v>31</v>
          </cell>
          <cell r="H240">
            <v>0</v>
          </cell>
          <cell r="I240">
            <v>5</v>
          </cell>
          <cell r="J240">
            <v>2</v>
          </cell>
          <cell r="K240">
            <v>24</v>
          </cell>
          <cell r="L240"/>
        </row>
        <row r="241">
          <cell r="B241" t="str">
            <v>SQFMD-0865</v>
          </cell>
          <cell r="C241" t="str">
            <v>Md Aminur Islam</v>
          </cell>
          <cell r="D241" t="str">
            <v>Service Supervisor (Sr. Mechanic)</v>
          </cell>
          <cell r="E241" t="str">
            <v>Technical</v>
          </cell>
          <cell r="F241">
            <v>45265</v>
          </cell>
          <cell r="G241">
            <v>31</v>
          </cell>
          <cell r="H241">
            <v>0</v>
          </cell>
          <cell r="I241">
            <v>5</v>
          </cell>
          <cell r="J241">
            <v>2</v>
          </cell>
          <cell r="K241">
            <v>24</v>
          </cell>
          <cell r="L241"/>
        </row>
        <row r="242">
          <cell r="B242" t="str">
            <v>SQFMD-0867</v>
          </cell>
          <cell r="C242" t="str">
            <v>Amitavo Chowdhury Wye</v>
          </cell>
          <cell r="D242" t="str">
            <v>CEO</v>
          </cell>
          <cell r="E242" t="str">
            <v>R&amp;D</v>
          </cell>
          <cell r="F242">
            <v>45231</v>
          </cell>
          <cell r="G242">
            <v>31</v>
          </cell>
          <cell r="H242">
            <v>0</v>
          </cell>
          <cell r="I242">
            <v>5</v>
          </cell>
          <cell r="J242">
            <v>2</v>
          </cell>
          <cell r="K242">
            <v>24</v>
          </cell>
          <cell r="L242"/>
        </row>
        <row r="243">
          <cell r="B243" t="str">
            <v>SQFMD-0869</v>
          </cell>
          <cell r="C243" t="str">
            <v>Md Monowar Hossain</v>
          </cell>
          <cell r="D243" t="str">
            <v>STM</v>
          </cell>
          <cell r="E243" t="str">
            <v>Pesticide &amp; Fertilizer</v>
          </cell>
          <cell r="F243">
            <v>45292</v>
          </cell>
          <cell r="G243">
            <v>31</v>
          </cell>
          <cell r="H243">
            <v>0</v>
          </cell>
          <cell r="I243">
            <v>5</v>
          </cell>
          <cell r="J243">
            <v>2</v>
          </cell>
          <cell r="K243">
            <v>24</v>
          </cell>
          <cell r="L243"/>
        </row>
        <row r="244">
          <cell r="B244" t="str">
            <v>SQFMD-0871</v>
          </cell>
          <cell r="C244" t="str">
            <v>Md Arif Molla</v>
          </cell>
          <cell r="D244" t="str">
            <v>Mechanic</v>
          </cell>
          <cell r="E244" t="str">
            <v>Technical</v>
          </cell>
          <cell r="F244">
            <v>45304</v>
          </cell>
          <cell r="G244">
            <v>31</v>
          </cell>
          <cell r="H244">
            <v>0</v>
          </cell>
          <cell r="I244">
            <v>5</v>
          </cell>
          <cell r="J244">
            <v>2</v>
          </cell>
          <cell r="K244">
            <v>24</v>
          </cell>
          <cell r="L244"/>
        </row>
        <row r="245">
          <cell r="B245" t="str">
            <v>SQFMD-0872</v>
          </cell>
          <cell r="C245" t="str">
            <v>Md Mizanur Rahaman</v>
          </cell>
          <cell r="D245" t="str">
            <v>Sr. Territory Sales Officer</v>
          </cell>
          <cell r="E245" t="str">
            <v>Pesticide &amp; Fertilizer</v>
          </cell>
          <cell r="F245">
            <v>45299</v>
          </cell>
          <cell r="G245">
            <v>31</v>
          </cell>
          <cell r="H245">
            <v>1</v>
          </cell>
          <cell r="I245">
            <v>5</v>
          </cell>
          <cell r="J245">
            <v>2</v>
          </cell>
          <cell r="K245">
            <v>23</v>
          </cell>
          <cell r="L245"/>
        </row>
        <row r="246">
          <cell r="B246" t="str">
            <v>SQFMD-0873</v>
          </cell>
          <cell r="C246" t="str">
            <v>Md Aminul Islam</v>
          </cell>
          <cell r="D246" t="str">
            <v>Territory Sales Officer</v>
          </cell>
          <cell r="E246" t="str">
            <v>Pesticide &amp; Fertilizer</v>
          </cell>
          <cell r="F246">
            <v>45299</v>
          </cell>
          <cell r="G246">
            <v>31</v>
          </cell>
          <cell r="H246">
            <v>4</v>
          </cell>
          <cell r="I246">
            <v>5</v>
          </cell>
          <cell r="J246">
            <v>2</v>
          </cell>
          <cell r="K246">
            <v>20</v>
          </cell>
          <cell r="L246"/>
        </row>
        <row r="247">
          <cell r="B247" t="str">
            <v>SQFMD-0874</v>
          </cell>
          <cell r="C247" t="str">
            <v>Md Alamgir Hossain</v>
          </cell>
          <cell r="D247" t="str">
            <v>Sr. Territory Sales Officer</v>
          </cell>
          <cell r="E247" t="str">
            <v>Pesticide &amp; Fertilizer</v>
          </cell>
          <cell r="F247">
            <v>45297</v>
          </cell>
          <cell r="G247">
            <v>31</v>
          </cell>
          <cell r="H247">
            <v>1</v>
          </cell>
          <cell r="I247">
            <v>5</v>
          </cell>
          <cell r="J247">
            <v>2</v>
          </cell>
          <cell r="K247">
            <v>23</v>
          </cell>
          <cell r="L247"/>
        </row>
        <row r="248">
          <cell r="B248" t="str">
            <v>SQFMD-0875</v>
          </cell>
          <cell r="C248" t="str">
            <v>Md Roknuzzaman</v>
          </cell>
          <cell r="D248" t="str">
            <v>Sr. Territory Sales Officer</v>
          </cell>
          <cell r="E248" t="str">
            <v>Pesticide &amp; Fertilizer</v>
          </cell>
          <cell r="F248">
            <v>45300</v>
          </cell>
          <cell r="G248">
            <v>31</v>
          </cell>
          <cell r="H248">
            <v>0</v>
          </cell>
          <cell r="I248">
            <v>5</v>
          </cell>
          <cell r="J248">
            <v>2</v>
          </cell>
          <cell r="K248">
            <v>24</v>
          </cell>
          <cell r="L248"/>
        </row>
        <row r="249">
          <cell r="B249" t="str">
            <v>SQFMD-0876</v>
          </cell>
          <cell r="C249" t="str">
            <v>Iqbal</v>
          </cell>
          <cell r="D249" t="str">
            <v>Worker</v>
          </cell>
          <cell r="E249" t="str">
            <v>Store &amp; Logistics</v>
          </cell>
          <cell r="F249">
            <v>45078</v>
          </cell>
          <cell r="G249">
            <v>31</v>
          </cell>
          <cell r="H249">
            <v>2</v>
          </cell>
          <cell r="I249">
            <v>5</v>
          </cell>
          <cell r="J249">
            <v>2</v>
          </cell>
          <cell r="K249">
            <v>22</v>
          </cell>
          <cell r="L249">
            <v>1</v>
          </cell>
        </row>
        <row r="250">
          <cell r="B250" t="str">
            <v>SQFMD-0877</v>
          </cell>
          <cell r="C250" t="str">
            <v>Md Shabuz Mia</v>
          </cell>
          <cell r="D250" t="str">
            <v>Driver</v>
          </cell>
          <cell r="E250" t="str">
            <v>Transport</v>
          </cell>
          <cell r="F250">
            <v>43452</v>
          </cell>
          <cell r="G250">
            <v>31</v>
          </cell>
          <cell r="H250">
            <v>0</v>
          </cell>
          <cell r="I250">
            <v>5</v>
          </cell>
          <cell r="J250">
            <v>2</v>
          </cell>
          <cell r="K250">
            <v>24</v>
          </cell>
          <cell r="L250"/>
        </row>
        <row r="251">
          <cell r="B251" t="str">
            <v>SQFMD-0879</v>
          </cell>
          <cell r="C251" t="str">
            <v>Dewan Kamrul Hasan</v>
          </cell>
          <cell r="D251" t="str">
            <v>Asst. General Manager</v>
          </cell>
          <cell r="E251" t="str">
            <v>Pesticide &amp; Fertilizer</v>
          </cell>
          <cell r="F251">
            <v>45325</v>
          </cell>
          <cell r="G251">
            <v>31</v>
          </cell>
          <cell r="H251">
            <v>0</v>
          </cell>
          <cell r="I251">
            <v>5</v>
          </cell>
          <cell r="J251">
            <v>2</v>
          </cell>
          <cell r="K251">
            <v>24</v>
          </cell>
          <cell r="L251"/>
        </row>
        <row r="252">
          <cell r="B252" t="str">
            <v>SQFMD-0881</v>
          </cell>
          <cell r="C252" t="str">
            <v>Md Mozahid</v>
          </cell>
          <cell r="D252" t="str">
            <v>Territory Sales Officer</v>
          </cell>
          <cell r="E252" t="str">
            <v>Seed</v>
          </cell>
          <cell r="F252">
            <v>45335</v>
          </cell>
          <cell r="G252">
            <v>31</v>
          </cell>
          <cell r="H252">
            <v>2</v>
          </cell>
          <cell r="I252">
            <v>5</v>
          </cell>
          <cell r="J252">
            <v>2</v>
          </cell>
          <cell r="K252">
            <v>22</v>
          </cell>
          <cell r="L252"/>
        </row>
        <row r="253">
          <cell r="B253" t="str">
            <v>SQFMD-0882</v>
          </cell>
          <cell r="C253" t="str">
            <v>Sujan Chandra Roy</v>
          </cell>
          <cell r="D253" t="str">
            <v>Farm Supervisor</v>
          </cell>
          <cell r="E253" t="str">
            <v>Seed</v>
          </cell>
          <cell r="F253">
            <v>45323</v>
          </cell>
          <cell r="G253">
            <v>31</v>
          </cell>
          <cell r="H253">
            <v>0</v>
          </cell>
          <cell r="I253">
            <v>5</v>
          </cell>
          <cell r="J253">
            <v>2</v>
          </cell>
          <cell r="K253">
            <v>24</v>
          </cell>
          <cell r="L253"/>
        </row>
        <row r="254">
          <cell r="B254" t="str">
            <v>SQFMD-0883</v>
          </cell>
          <cell r="C254" t="str">
            <v>Md Ahsan Habib</v>
          </cell>
          <cell r="D254" t="str">
            <v>Office Assistant</v>
          </cell>
          <cell r="E254" t="str">
            <v>Pesticide &amp; Fertilizer</v>
          </cell>
          <cell r="F254">
            <v>45336</v>
          </cell>
          <cell r="G254">
            <v>31</v>
          </cell>
          <cell r="H254">
            <v>0</v>
          </cell>
          <cell r="I254">
            <v>5</v>
          </cell>
          <cell r="J254">
            <v>2</v>
          </cell>
          <cell r="K254">
            <v>24</v>
          </cell>
          <cell r="L254"/>
        </row>
        <row r="255">
          <cell r="B255" t="str">
            <v>SQFMD-0886</v>
          </cell>
          <cell r="C255" t="str">
            <v>Md Asaduzzaman Sagor</v>
          </cell>
          <cell r="D255" t="str">
            <v>Jr. Engineer</v>
          </cell>
          <cell r="E255" t="str">
            <v>R&amp;D</v>
          </cell>
          <cell r="F255">
            <v>45337</v>
          </cell>
          <cell r="G255">
            <v>31</v>
          </cell>
          <cell r="H255">
            <v>0</v>
          </cell>
          <cell r="I255">
            <v>5</v>
          </cell>
          <cell r="J255">
            <v>2</v>
          </cell>
          <cell r="K255">
            <v>24</v>
          </cell>
          <cell r="L255"/>
        </row>
        <row r="256">
          <cell r="B256" t="str">
            <v>SQFMD-0887</v>
          </cell>
          <cell r="C256" t="str">
            <v>Md Rony Miya</v>
          </cell>
          <cell r="D256" t="str">
            <v>Office Assistant</v>
          </cell>
          <cell r="E256" t="str">
            <v>Pesticide &amp; Fertilizer</v>
          </cell>
          <cell r="F256">
            <v>45337</v>
          </cell>
          <cell r="G256">
            <v>31</v>
          </cell>
          <cell r="H256">
            <v>0</v>
          </cell>
          <cell r="I256">
            <v>5</v>
          </cell>
          <cell r="J256">
            <v>2</v>
          </cell>
          <cell r="K256">
            <v>24</v>
          </cell>
          <cell r="L256"/>
        </row>
        <row r="257">
          <cell r="B257" t="str">
            <v>SQFMD-0889</v>
          </cell>
          <cell r="C257" t="str">
            <v>Md Golam Sorower</v>
          </cell>
          <cell r="D257" t="str">
            <v>Sr. Territory Sales Officer</v>
          </cell>
          <cell r="E257" t="str">
            <v>S&amp;M</v>
          </cell>
          <cell r="F257">
            <v>45346</v>
          </cell>
          <cell r="G257">
            <v>31</v>
          </cell>
          <cell r="H257">
            <v>0</v>
          </cell>
          <cell r="I257">
            <v>5</v>
          </cell>
          <cell r="J257">
            <v>2</v>
          </cell>
          <cell r="K257">
            <v>24</v>
          </cell>
          <cell r="L257"/>
        </row>
        <row r="258">
          <cell r="B258" t="str">
            <v>SQFMD-0891</v>
          </cell>
          <cell r="C258" t="str">
            <v>Md Asaduzzaman</v>
          </cell>
          <cell r="D258" t="str">
            <v>Sr. Territory Sales Officer</v>
          </cell>
          <cell r="E258" t="str">
            <v>S&amp;M</v>
          </cell>
          <cell r="F258">
            <v>45353</v>
          </cell>
          <cell r="G258">
            <v>31</v>
          </cell>
          <cell r="H258">
            <v>0</v>
          </cell>
          <cell r="I258">
            <v>5</v>
          </cell>
          <cell r="J258">
            <v>2</v>
          </cell>
          <cell r="K258">
            <v>24</v>
          </cell>
          <cell r="L258"/>
        </row>
        <row r="259">
          <cell r="B259" t="str">
            <v>SQFMD-0893</v>
          </cell>
          <cell r="C259" t="str">
            <v>Md Raju Mia</v>
          </cell>
          <cell r="D259" t="str">
            <v>Assistant Territory Manager</v>
          </cell>
          <cell r="E259" t="str">
            <v>S&amp;M</v>
          </cell>
          <cell r="F259">
            <v>45353</v>
          </cell>
          <cell r="G259">
            <v>31</v>
          </cell>
          <cell r="H259">
            <v>1</v>
          </cell>
          <cell r="I259">
            <v>5</v>
          </cell>
          <cell r="J259">
            <v>2</v>
          </cell>
          <cell r="K259">
            <v>23</v>
          </cell>
          <cell r="L259"/>
        </row>
        <row r="260">
          <cell r="B260" t="str">
            <v>SQFMD-0894</v>
          </cell>
          <cell r="C260" t="str">
            <v>Md Peyarul Islam</v>
          </cell>
          <cell r="D260" t="str">
            <v>Sr. Territory Sales Officer</v>
          </cell>
          <cell r="E260" t="str">
            <v>S&amp;M</v>
          </cell>
          <cell r="F260">
            <v>45353</v>
          </cell>
          <cell r="G260">
            <v>31</v>
          </cell>
          <cell r="H260">
            <v>1</v>
          </cell>
          <cell r="I260">
            <v>5</v>
          </cell>
          <cell r="J260">
            <v>2</v>
          </cell>
          <cell r="K260">
            <v>23</v>
          </cell>
          <cell r="L260"/>
        </row>
        <row r="261">
          <cell r="B261" t="str">
            <v>SQFMD-0896</v>
          </cell>
          <cell r="C261" t="str">
            <v>Sree Bhupendronath Roy</v>
          </cell>
          <cell r="D261" t="str">
            <v>Assistant Territory Manager</v>
          </cell>
          <cell r="E261" t="str">
            <v>S&amp;M</v>
          </cell>
          <cell r="F261">
            <v>45353</v>
          </cell>
          <cell r="G261">
            <v>31</v>
          </cell>
          <cell r="H261">
            <v>0</v>
          </cell>
          <cell r="I261">
            <v>5</v>
          </cell>
          <cell r="J261">
            <v>2</v>
          </cell>
          <cell r="K261">
            <v>24</v>
          </cell>
          <cell r="L261"/>
        </row>
        <row r="262">
          <cell r="B262" t="str">
            <v>SQFMD-0897</v>
          </cell>
          <cell r="C262" t="str">
            <v>Md Wohed Ali</v>
          </cell>
          <cell r="D262" t="str">
            <v>Sr. Territory Sales Officer</v>
          </cell>
          <cell r="E262" t="str">
            <v>S&amp;M</v>
          </cell>
          <cell r="F262">
            <v>45353</v>
          </cell>
          <cell r="G262">
            <v>31</v>
          </cell>
          <cell r="H262">
            <v>0</v>
          </cell>
          <cell r="I262">
            <v>5</v>
          </cell>
          <cell r="J262">
            <v>2</v>
          </cell>
          <cell r="K262">
            <v>24</v>
          </cell>
          <cell r="L262"/>
        </row>
        <row r="263">
          <cell r="B263" t="str">
            <v>SQFMD-0898</v>
          </cell>
          <cell r="C263" t="str">
            <v>Md Gias Uddin Howlader</v>
          </cell>
          <cell r="D263" t="str">
            <v>Sr. Territory Sales Officer</v>
          </cell>
          <cell r="E263" t="str">
            <v>S&amp;M</v>
          </cell>
          <cell r="F263">
            <v>45353</v>
          </cell>
          <cell r="G263">
            <v>31</v>
          </cell>
          <cell r="H263">
            <v>2</v>
          </cell>
          <cell r="I263">
            <v>5</v>
          </cell>
          <cell r="J263">
            <v>2</v>
          </cell>
          <cell r="K263">
            <v>22</v>
          </cell>
          <cell r="L263"/>
        </row>
        <row r="264">
          <cell r="B264" t="str">
            <v>SQFMD-0899</v>
          </cell>
          <cell r="C264" t="str">
            <v>Md Rayhan Faruq Gazi</v>
          </cell>
          <cell r="D264" t="str">
            <v>Assistant Territory Manager</v>
          </cell>
          <cell r="E264" t="str">
            <v>S&amp;M</v>
          </cell>
          <cell r="F264">
            <v>45353</v>
          </cell>
          <cell r="G264">
            <v>31</v>
          </cell>
          <cell r="H264">
            <v>0</v>
          </cell>
          <cell r="I264">
            <v>5</v>
          </cell>
          <cell r="J264">
            <v>2</v>
          </cell>
          <cell r="K264">
            <v>24</v>
          </cell>
          <cell r="L264">
            <v>2</v>
          </cell>
        </row>
        <row r="265">
          <cell r="B265" t="str">
            <v>SQFMD-0900</v>
          </cell>
          <cell r="C265" t="str">
            <v>Md Shariful Islam</v>
          </cell>
          <cell r="D265" t="str">
            <v>Sr. Manager</v>
          </cell>
          <cell r="E265" t="str">
            <v>CRRM</v>
          </cell>
          <cell r="F265">
            <v>45353</v>
          </cell>
          <cell r="G265">
            <v>31</v>
          </cell>
          <cell r="H265">
            <v>2</v>
          </cell>
          <cell r="I265">
            <v>5</v>
          </cell>
          <cell r="J265">
            <v>2</v>
          </cell>
          <cell r="K265">
            <v>22</v>
          </cell>
          <cell r="L265"/>
        </row>
        <row r="266">
          <cell r="B266" t="str">
            <v>SQFMD-0509</v>
          </cell>
          <cell r="C266" t="str">
            <v>Md. Yousub Ali</v>
          </cell>
          <cell r="D266" t="str">
            <v>Territory Sales Officer</v>
          </cell>
          <cell r="E266" t="str">
            <v>Pesticide &amp; Fertilizer</v>
          </cell>
          <cell r="F266">
            <v>45355</v>
          </cell>
          <cell r="G266">
            <v>31</v>
          </cell>
          <cell r="H266">
            <v>0</v>
          </cell>
          <cell r="I266">
            <v>5</v>
          </cell>
          <cell r="J266">
            <v>2</v>
          </cell>
          <cell r="K266">
            <v>24</v>
          </cell>
          <cell r="L266"/>
        </row>
        <row r="267">
          <cell r="B267" t="str">
            <v>SQFMD-0901</v>
          </cell>
          <cell r="C267" t="str">
            <v>Ramani Kanta Barman</v>
          </cell>
          <cell r="D267" t="str">
            <v>Sr. Territory Sales Officer</v>
          </cell>
          <cell r="E267" t="str">
            <v>S&amp;M</v>
          </cell>
          <cell r="F267">
            <v>45356</v>
          </cell>
          <cell r="G267">
            <v>31</v>
          </cell>
          <cell r="H267">
            <v>0</v>
          </cell>
          <cell r="I267">
            <v>5</v>
          </cell>
          <cell r="J267">
            <v>2</v>
          </cell>
          <cell r="K267">
            <v>24</v>
          </cell>
          <cell r="L267"/>
        </row>
        <row r="268">
          <cell r="B268" t="str">
            <v>SQFMD-0902</v>
          </cell>
          <cell r="C268" t="str">
            <v>Md Aibul Ali</v>
          </cell>
          <cell r="D268" t="str">
            <v>Lowbed Driver</v>
          </cell>
          <cell r="E268" t="str">
            <v>Transport</v>
          </cell>
          <cell r="F268">
            <v>45356</v>
          </cell>
          <cell r="G268">
            <v>31</v>
          </cell>
          <cell r="H268">
            <v>2</v>
          </cell>
          <cell r="I268">
            <v>5</v>
          </cell>
          <cell r="J268">
            <v>2</v>
          </cell>
          <cell r="K268">
            <v>22</v>
          </cell>
          <cell r="L268"/>
        </row>
        <row r="269">
          <cell r="B269" t="str">
            <v>SQFMD-0903</v>
          </cell>
          <cell r="C269" t="str">
            <v>Md Tuhin Akram</v>
          </cell>
          <cell r="D269" t="str">
            <v>Territory Sales Officer</v>
          </cell>
          <cell r="E269" t="str">
            <v>Pesticide &amp; Fertilizer</v>
          </cell>
          <cell r="F269">
            <v>45357</v>
          </cell>
          <cell r="G269">
            <v>31</v>
          </cell>
          <cell r="H269">
            <v>1</v>
          </cell>
          <cell r="I269">
            <v>5</v>
          </cell>
          <cell r="J269">
            <v>2</v>
          </cell>
          <cell r="K269">
            <v>23</v>
          </cell>
          <cell r="L269"/>
        </row>
        <row r="270">
          <cell r="B270" t="str">
            <v>SQFMD-0904</v>
          </cell>
          <cell r="C270" t="str">
            <v>Md Rakib Hossain</v>
          </cell>
          <cell r="D270" t="str">
            <v>Territory Sales Officer</v>
          </cell>
          <cell r="E270" t="str">
            <v>Pesticide &amp; Fertilizer</v>
          </cell>
          <cell r="F270">
            <v>45357</v>
          </cell>
          <cell r="G270">
            <v>31</v>
          </cell>
          <cell r="H270">
            <v>0</v>
          </cell>
          <cell r="I270">
            <v>5</v>
          </cell>
          <cell r="J270">
            <v>2</v>
          </cell>
          <cell r="K270">
            <v>24</v>
          </cell>
          <cell r="L270"/>
        </row>
        <row r="271">
          <cell r="B271" t="str">
            <v>SQFMD-0905</v>
          </cell>
          <cell r="C271" t="str">
            <v>Md Atikur Rahman</v>
          </cell>
          <cell r="D271" t="str">
            <v>Territory Sales Officer</v>
          </cell>
          <cell r="E271" t="str">
            <v>Pesticide &amp; Fertilizer</v>
          </cell>
          <cell r="F271">
            <v>45357</v>
          </cell>
          <cell r="G271">
            <v>31</v>
          </cell>
          <cell r="H271">
            <v>0</v>
          </cell>
          <cell r="I271">
            <v>5</v>
          </cell>
          <cell r="J271">
            <v>2</v>
          </cell>
          <cell r="K271">
            <v>24</v>
          </cell>
          <cell r="L271"/>
        </row>
        <row r="272">
          <cell r="B272" t="str">
            <v>SQFMD-0906</v>
          </cell>
          <cell r="C272" t="str">
            <v>Md Saddam Hossain Sourav</v>
          </cell>
          <cell r="D272" t="str">
            <v>Executive</v>
          </cell>
          <cell r="E272" t="str">
            <v>Finance &amp; Accounts</v>
          </cell>
          <cell r="F272">
            <v>45361</v>
          </cell>
          <cell r="G272">
            <v>31</v>
          </cell>
          <cell r="H272">
            <v>0</v>
          </cell>
          <cell r="I272">
            <v>5</v>
          </cell>
          <cell r="J272">
            <v>2</v>
          </cell>
          <cell r="K272">
            <v>24</v>
          </cell>
          <cell r="L272"/>
        </row>
        <row r="273">
          <cell r="B273" t="str">
            <v>SQFMD-0907</v>
          </cell>
          <cell r="C273" t="str">
            <v>Md Aslam Uddin</v>
          </cell>
          <cell r="D273" t="str">
            <v>Executive</v>
          </cell>
          <cell r="E273" t="str">
            <v>Finance &amp; Accounts</v>
          </cell>
          <cell r="F273">
            <v>45361</v>
          </cell>
          <cell r="G273">
            <v>31</v>
          </cell>
          <cell r="H273">
            <v>0</v>
          </cell>
          <cell r="I273">
            <v>5</v>
          </cell>
          <cell r="J273">
            <v>2</v>
          </cell>
          <cell r="K273">
            <v>24</v>
          </cell>
          <cell r="L273"/>
        </row>
        <row r="274">
          <cell r="B274" t="str">
            <v>SQFMD-0908</v>
          </cell>
          <cell r="C274" t="str">
            <v>M. Abdus Salam Sardar</v>
          </cell>
          <cell r="D274" t="str">
            <v>Sr. Executive</v>
          </cell>
          <cell r="E274" t="str">
            <v>Audit &amp; Monitoring</v>
          </cell>
          <cell r="F274">
            <v>45361</v>
          </cell>
          <cell r="G274">
            <v>31</v>
          </cell>
          <cell r="H274">
            <v>0</v>
          </cell>
          <cell r="I274">
            <v>5</v>
          </cell>
          <cell r="J274">
            <v>2</v>
          </cell>
          <cell r="K274">
            <v>24</v>
          </cell>
          <cell r="L274"/>
        </row>
        <row r="275">
          <cell r="B275" t="str">
            <v>SQFMD-0909</v>
          </cell>
          <cell r="C275" t="str">
            <v>Md Asaduzzaman</v>
          </cell>
          <cell r="D275" t="str">
            <v>Sr. Territory Sales Officer</v>
          </cell>
          <cell r="E275" t="str">
            <v>Pesticide &amp; Fertilizer</v>
          </cell>
          <cell r="F275">
            <v>45367</v>
          </cell>
          <cell r="G275">
            <v>31</v>
          </cell>
          <cell r="H275">
            <v>1</v>
          </cell>
          <cell r="I275">
            <v>5</v>
          </cell>
          <cell r="J275">
            <v>2</v>
          </cell>
          <cell r="K275">
            <v>23</v>
          </cell>
          <cell r="L275"/>
        </row>
        <row r="276">
          <cell r="B276" t="str">
            <v>SQFMD-0911</v>
          </cell>
          <cell r="C276" t="str">
            <v>Md Rasadul Islam</v>
          </cell>
          <cell r="D276" t="str">
            <v>Sr. Territory Sales Officer</v>
          </cell>
          <cell r="E276" t="str">
            <v>Pesticide &amp; Fertilizer</v>
          </cell>
          <cell r="F276">
            <v>45367</v>
          </cell>
          <cell r="G276">
            <v>31</v>
          </cell>
          <cell r="H276">
            <v>0</v>
          </cell>
          <cell r="I276">
            <v>5</v>
          </cell>
          <cell r="J276">
            <v>2</v>
          </cell>
          <cell r="K276">
            <v>24</v>
          </cell>
          <cell r="L276"/>
        </row>
        <row r="277">
          <cell r="B277" t="str">
            <v>SQFMD-0912</v>
          </cell>
          <cell r="C277" t="str">
            <v>Abdush Salam Pappu</v>
          </cell>
          <cell r="D277" t="str">
            <v>Sr. Recovery Officer</v>
          </cell>
          <cell r="E277" t="str">
            <v>CRRM</v>
          </cell>
          <cell r="F277">
            <v>45367</v>
          </cell>
          <cell r="G277">
            <v>31</v>
          </cell>
          <cell r="H277">
            <v>0</v>
          </cell>
          <cell r="I277">
            <v>5</v>
          </cell>
          <cell r="J277">
            <v>2</v>
          </cell>
          <cell r="K277">
            <v>24</v>
          </cell>
          <cell r="L277"/>
        </row>
        <row r="278">
          <cell r="B278" t="str">
            <v>SQFMD-0913</v>
          </cell>
          <cell r="C278" t="str">
            <v>Md Enamul Hoque</v>
          </cell>
          <cell r="D278" t="str">
            <v>Store Assistant</v>
          </cell>
          <cell r="E278" t="str">
            <v>Store &amp; Logistics</v>
          </cell>
          <cell r="F278">
            <v>45369</v>
          </cell>
          <cell r="G278">
            <v>31</v>
          </cell>
          <cell r="H278">
            <v>0</v>
          </cell>
          <cell r="I278">
            <v>5</v>
          </cell>
          <cell r="J278">
            <v>2</v>
          </cell>
          <cell r="K278">
            <v>24</v>
          </cell>
          <cell r="L278"/>
        </row>
        <row r="279">
          <cell r="B279" t="str">
            <v>SQFMD-0914</v>
          </cell>
          <cell r="C279" t="str">
            <v>Md Abdul Alim</v>
          </cell>
          <cell r="D279" t="str">
            <v>Driver (Van)</v>
          </cell>
          <cell r="E279" t="str">
            <v>Transport</v>
          </cell>
          <cell r="F279">
            <v>45367</v>
          </cell>
          <cell r="G279">
            <v>31</v>
          </cell>
          <cell r="H279">
            <v>0</v>
          </cell>
          <cell r="I279">
            <v>5</v>
          </cell>
          <cell r="J279">
            <v>2</v>
          </cell>
          <cell r="K279">
            <v>24</v>
          </cell>
          <cell r="L279"/>
        </row>
        <row r="280">
          <cell r="B280" t="str">
            <v>SQFMD-0915</v>
          </cell>
          <cell r="C280" t="str">
            <v>Md Rofiqul Islam</v>
          </cell>
          <cell r="D280" t="str">
            <v>Helper (Van)</v>
          </cell>
          <cell r="E280" t="str">
            <v>Transport</v>
          </cell>
          <cell r="F280">
            <v>45367</v>
          </cell>
          <cell r="G280">
            <v>31</v>
          </cell>
          <cell r="H280">
            <v>0</v>
          </cell>
          <cell r="I280">
            <v>5</v>
          </cell>
          <cell r="J280">
            <v>2</v>
          </cell>
          <cell r="K280">
            <v>24</v>
          </cell>
          <cell r="L280"/>
        </row>
        <row r="281">
          <cell r="B281" t="str">
            <v>SQFMD-0916</v>
          </cell>
          <cell r="C281" t="str">
            <v>Md Hazrat Ali</v>
          </cell>
          <cell r="D281" t="str">
            <v>Helper (Lowbed)</v>
          </cell>
          <cell r="E281" t="str">
            <v>Transport</v>
          </cell>
          <cell r="F281">
            <v>45367</v>
          </cell>
          <cell r="G281">
            <v>31</v>
          </cell>
          <cell r="H281">
            <v>0</v>
          </cell>
          <cell r="I281">
            <v>5</v>
          </cell>
          <cell r="J281">
            <v>2</v>
          </cell>
          <cell r="K281">
            <v>24</v>
          </cell>
          <cell r="L281"/>
        </row>
        <row r="282">
          <cell r="B282" t="str">
            <v>SQFMD-0917</v>
          </cell>
          <cell r="C282" t="str">
            <v>Md Raju Ahammed</v>
          </cell>
          <cell r="D282" t="str">
            <v>Sr. Service Engineer</v>
          </cell>
          <cell r="E282" t="str">
            <v>Technical</v>
          </cell>
          <cell r="F282">
            <v>45370</v>
          </cell>
          <cell r="G282">
            <v>31</v>
          </cell>
          <cell r="H282">
            <v>6</v>
          </cell>
          <cell r="I282">
            <v>5</v>
          </cell>
          <cell r="J282">
            <v>2</v>
          </cell>
          <cell r="K282">
            <v>18</v>
          </cell>
          <cell r="L282"/>
        </row>
        <row r="283">
          <cell r="B283" t="str">
            <v>SQFMD-0919</v>
          </cell>
          <cell r="C283" t="str">
            <v>Md Hasib Islam</v>
          </cell>
          <cell r="D283" t="str">
            <v>Mechanic</v>
          </cell>
          <cell r="E283" t="str">
            <v>Technical</v>
          </cell>
          <cell r="F283">
            <v>45371</v>
          </cell>
          <cell r="G283">
            <v>31</v>
          </cell>
          <cell r="H283">
            <v>0</v>
          </cell>
          <cell r="I283">
            <v>5</v>
          </cell>
          <cell r="J283">
            <v>2</v>
          </cell>
          <cell r="K283">
            <v>24</v>
          </cell>
          <cell r="L283"/>
        </row>
        <row r="284">
          <cell r="B284" t="str">
            <v>SQFMD-0920</v>
          </cell>
          <cell r="C284" t="str">
            <v>Md Habibur Rahman</v>
          </cell>
          <cell r="D284" t="str">
            <v>Mechanic</v>
          </cell>
          <cell r="E284" t="str">
            <v>Technical</v>
          </cell>
          <cell r="F284">
            <v>45371</v>
          </cell>
          <cell r="G284">
            <v>31</v>
          </cell>
          <cell r="H284">
            <v>0</v>
          </cell>
          <cell r="I284">
            <v>5</v>
          </cell>
          <cell r="J284">
            <v>2</v>
          </cell>
          <cell r="K284">
            <v>24</v>
          </cell>
          <cell r="L284"/>
        </row>
        <row r="285">
          <cell r="B285" t="str">
            <v>SQFMD-0921</v>
          </cell>
          <cell r="C285" t="str">
            <v>Md Rashel Babu</v>
          </cell>
          <cell r="D285" t="str">
            <v>Mechanic</v>
          </cell>
          <cell r="E285" t="str">
            <v>Technical</v>
          </cell>
          <cell r="F285">
            <v>45362</v>
          </cell>
          <cell r="G285">
            <v>31</v>
          </cell>
          <cell r="H285">
            <v>3</v>
          </cell>
          <cell r="I285">
            <v>5</v>
          </cell>
          <cell r="J285">
            <v>2</v>
          </cell>
          <cell r="K285">
            <v>21</v>
          </cell>
          <cell r="L285"/>
        </row>
        <row r="286">
          <cell r="B286" t="str">
            <v>SQFMD-0922</v>
          </cell>
          <cell r="C286" t="str">
            <v>Md Imran</v>
          </cell>
          <cell r="D286" t="str">
            <v>Service Engineer</v>
          </cell>
          <cell r="E286" t="str">
            <v>Technical</v>
          </cell>
          <cell r="F286">
            <v>45378</v>
          </cell>
          <cell r="G286">
            <v>31</v>
          </cell>
          <cell r="H286">
            <v>0</v>
          </cell>
          <cell r="I286">
            <v>5</v>
          </cell>
          <cell r="J286">
            <v>2</v>
          </cell>
          <cell r="K286">
            <v>24</v>
          </cell>
          <cell r="L286"/>
        </row>
        <row r="287">
          <cell r="B287" t="str">
            <v>SQFMD-0918</v>
          </cell>
          <cell r="C287" t="str">
            <v>Suzit Kumar Roy</v>
          </cell>
          <cell r="D287" t="str">
            <v>Sr. Recovery Officer</v>
          </cell>
          <cell r="E287" t="str">
            <v>CRRM</v>
          </cell>
          <cell r="F287">
            <v>45384</v>
          </cell>
          <cell r="G287">
            <v>31</v>
          </cell>
          <cell r="H287">
            <v>0</v>
          </cell>
          <cell r="I287">
            <v>5</v>
          </cell>
          <cell r="J287">
            <v>2</v>
          </cell>
          <cell r="K287">
            <v>24</v>
          </cell>
          <cell r="L287"/>
        </row>
        <row r="288">
          <cell r="B288" t="str">
            <v>SQFMD-0923</v>
          </cell>
          <cell r="C288" t="str">
            <v>Md Obaidul Haque</v>
          </cell>
          <cell r="D288" t="str">
            <v>Night Gurd</v>
          </cell>
          <cell r="E288" t="str">
            <v>Seed</v>
          </cell>
          <cell r="F288">
            <v>44917</v>
          </cell>
          <cell r="G288">
            <v>31</v>
          </cell>
          <cell r="H288">
            <v>0</v>
          </cell>
          <cell r="I288">
            <v>5</v>
          </cell>
          <cell r="J288">
            <v>2</v>
          </cell>
          <cell r="K288">
            <v>24</v>
          </cell>
          <cell r="L288"/>
        </row>
        <row r="289">
          <cell r="B289" t="str">
            <v>SQFMD-0924</v>
          </cell>
          <cell r="C289" t="str">
            <v>Md Rahat Howlader</v>
          </cell>
          <cell r="D289" t="str">
            <v>Territory Sales Officer</v>
          </cell>
          <cell r="E289" t="str">
            <v>Seed</v>
          </cell>
          <cell r="F289">
            <v>45385</v>
          </cell>
          <cell r="G289">
            <v>31</v>
          </cell>
          <cell r="H289">
            <v>0</v>
          </cell>
          <cell r="I289">
            <v>5</v>
          </cell>
          <cell r="J289">
            <v>2</v>
          </cell>
          <cell r="K289">
            <v>24</v>
          </cell>
          <cell r="L289"/>
        </row>
        <row r="290">
          <cell r="B290" t="str">
            <v>SQFMD-0925</v>
          </cell>
          <cell r="C290" t="str">
            <v>Russel Ahmed</v>
          </cell>
          <cell r="D290" t="str">
            <v>Sr. Territory Sales Officer</v>
          </cell>
          <cell r="E290" t="str">
            <v>Seed</v>
          </cell>
          <cell r="F290">
            <v>45397</v>
          </cell>
          <cell r="G290">
            <v>31</v>
          </cell>
          <cell r="H290">
            <v>10</v>
          </cell>
          <cell r="I290">
            <v>5</v>
          </cell>
          <cell r="J290">
            <v>2</v>
          </cell>
          <cell r="K290">
            <v>14</v>
          </cell>
          <cell r="L290"/>
        </row>
        <row r="291">
          <cell r="B291" t="str">
            <v>SQFMD-0926</v>
          </cell>
          <cell r="C291" t="str">
            <v>Abdur Rahman</v>
          </cell>
          <cell r="D291" t="str">
            <v>Sr. Executive</v>
          </cell>
          <cell r="E291" t="str">
            <v>Auditor &amp; Monitoring</v>
          </cell>
          <cell r="F291">
            <v>45397</v>
          </cell>
          <cell r="G291">
            <v>31</v>
          </cell>
          <cell r="H291">
            <v>0</v>
          </cell>
          <cell r="I291">
            <v>5</v>
          </cell>
          <cell r="J291">
            <v>2</v>
          </cell>
          <cell r="K291">
            <v>24</v>
          </cell>
          <cell r="L291"/>
        </row>
        <row r="292">
          <cell r="B292" t="str">
            <v>SQFMD-0927</v>
          </cell>
          <cell r="C292" t="str">
            <v>Md Khorshed Alam</v>
          </cell>
          <cell r="D292" t="str">
            <v>Accounts Officer</v>
          </cell>
          <cell r="E292" t="str">
            <v>F&amp;A</v>
          </cell>
          <cell r="F292">
            <v>45397</v>
          </cell>
          <cell r="G292">
            <v>31</v>
          </cell>
          <cell r="H292">
            <v>0</v>
          </cell>
          <cell r="I292">
            <v>5</v>
          </cell>
          <cell r="J292">
            <v>2</v>
          </cell>
          <cell r="K292">
            <v>24</v>
          </cell>
          <cell r="L292"/>
        </row>
        <row r="293">
          <cell r="B293" t="str">
            <v>SQFMD-0928</v>
          </cell>
          <cell r="C293" t="str">
            <v>Md Abdur Rahim</v>
          </cell>
          <cell r="D293" t="str">
            <v>Accounts Officer</v>
          </cell>
          <cell r="E293" t="str">
            <v>F&amp;A</v>
          </cell>
          <cell r="F293">
            <v>45397</v>
          </cell>
          <cell r="G293">
            <v>31</v>
          </cell>
          <cell r="H293">
            <v>0</v>
          </cell>
          <cell r="I293">
            <v>5</v>
          </cell>
          <cell r="J293">
            <v>2</v>
          </cell>
          <cell r="K293">
            <v>24</v>
          </cell>
          <cell r="L293"/>
        </row>
        <row r="294">
          <cell r="B294" t="str">
            <v>SQFMD-0929</v>
          </cell>
          <cell r="C294" t="str">
            <v>Mizanur Rahman</v>
          </cell>
          <cell r="D294" t="str">
            <v>Mechanic</v>
          </cell>
          <cell r="E294" t="str">
            <v>Technical</v>
          </cell>
          <cell r="F294">
            <v>45397</v>
          </cell>
          <cell r="G294">
            <v>31</v>
          </cell>
          <cell r="H294">
            <v>0</v>
          </cell>
          <cell r="I294">
            <v>5</v>
          </cell>
          <cell r="J294">
            <v>2</v>
          </cell>
          <cell r="K294">
            <v>24</v>
          </cell>
          <cell r="L294"/>
        </row>
        <row r="295">
          <cell r="B295" t="str">
            <v>SQFMD-0930</v>
          </cell>
          <cell r="C295" t="str">
            <v>Md Saidul Islam</v>
          </cell>
          <cell r="D295" t="str">
            <v>Mechanic</v>
          </cell>
          <cell r="E295" t="str">
            <v>Technical</v>
          </cell>
          <cell r="F295">
            <v>45397</v>
          </cell>
          <cell r="G295">
            <v>31</v>
          </cell>
          <cell r="H295">
            <v>0</v>
          </cell>
          <cell r="I295">
            <v>5</v>
          </cell>
          <cell r="J295">
            <v>2</v>
          </cell>
          <cell r="K295">
            <v>24</v>
          </cell>
          <cell r="L295"/>
        </row>
        <row r="296">
          <cell r="B296" t="str">
            <v>SQFMD-0931</v>
          </cell>
          <cell r="C296" t="str">
            <v>Md Hasin Ul Ahsan</v>
          </cell>
          <cell r="D296" t="str">
            <v>Territory Sales Officer</v>
          </cell>
          <cell r="E296" t="str">
            <v>Pesticide &amp; Fertilizer</v>
          </cell>
          <cell r="F296">
            <v>45398</v>
          </cell>
          <cell r="G296">
            <v>31</v>
          </cell>
          <cell r="H296">
            <v>2</v>
          </cell>
          <cell r="I296">
            <v>5</v>
          </cell>
          <cell r="J296">
            <v>2</v>
          </cell>
          <cell r="K296">
            <v>22</v>
          </cell>
          <cell r="L296"/>
        </row>
        <row r="297">
          <cell r="B297" t="str">
            <v>SQFMD-0933</v>
          </cell>
          <cell r="C297" t="str">
            <v>Md Shujon Ali</v>
          </cell>
          <cell r="D297" t="str">
            <v>Territory Sales Officer</v>
          </cell>
          <cell r="E297" t="str">
            <v>Pesticide &amp; Fertilizer</v>
          </cell>
          <cell r="F297">
            <v>45398</v>
          </cell>
          <cell r="G297">
            <v>31</v>
          </cell>
          <cell r="H297">
            <v>0</v>
          </cell>
          <cell r="I297">
            <v>5</v>
          </cell>
          <cell r="J297">
            <v>2</v>
          </cell>
          <cell r="K297">
            <v>24</v>
          </cell>
          <cell r="L297"/>
        </row>
        <row r="298">
          <cell r="B298" t="str">
            <v>SQFMD-0934</v>
          </cell>
          <cell r="C298" t="str">
            <v>Md Harun Or Rashid</v>
          </cell>
          <cell r="D298" t="str">
            <v>Territory Sales Officer</v>
          </cell>
          <cell r="E298" t="str">
            <v>Pesticide &amp; Fertilizer</v>
          </cell>
          <cell r="F298">
            <v>45398</v>
          </cell>
          <cell r="G298">
            <v>31</v>
          </cell>
          <cell r="H298">
            <v>0</v>
          </cell>
          <cell r="I298">
            <v>5</v>
          </cell>
          <cell r="J298">
            <v>2</v>
          </cell>
          <cell r="K298">
            <v>24</v>
          </cell>
          <cell r="L298"/>
        </row>
        <row r="299">
          <cell r="B299" t="str">
            <v>SQFMD-0935</v>
          </cell>
          <cell r="C299" t="str">
            <v>Alamgir</v>
          </cell>
          <cell r="D299" t="str">
            <v>Territory Sales Officer</v>
          </cell>
          <cell r="E299" t="str">
            <v>Pesticide &amp; Fertilizer</v>
          </cell>
          <cell r="F299">
            <v>45398</v>
          </cell>
          <cell r="G299">
            <v>31</v>
          </cell>
          <cell r="H299">
            <v>2</v>
          </cell>
          <cell r="I299">
            <v>5</v>
          </cell>
          <cell r="J299">
            <v>2</v>
          </cell>
          <cell r="K299">
            <v>22</v>
          </cell>
          <cell r="L299"/>
        </row>
        <row r="300">
          <cell r="B300" t="str">
            <v>SQFMD-0936</v>
          </cell>
          <cell r="C300" t="str">
            <v>Md Amirul Islam</v>
          </cell>
          <cell r="D300" t="str">
            <v>Territory Sales Officer</v>
          </cell>
          <cell r="E300" t="str">
            <v>Pesticide &amp; Fertilizer</v>
          </cell>
          <cell r="F300">
            <v>45398</v>
          </cell>
          <cell r="G300">
            <v>31</v>
          </cell>
          <cell r="H300">
            <v>2</v>
          </cell>
          <cell r="I300">
            <v>5</v>
          </cell>
          <cell r="J300">
            <v>2</v>
          </cell>
          <cell r="K300">
            <v>22</v>
          </cell>
          <cell r="L300"/>
        </row>
        <row r="301">
          <cell r="B301" t="str">
            <v>SQFMD-0937</v>
          </cell>
          <cell r="C301" t="str">
            <v>Md Mithu Mia</v>
          </cell>
          <cell r="D301" t="str">
            <v>Territory Sales Officer</v>
          </cell>
          <cell r="E301" t="str">
            <v>Pesticide &amp; Fertilizer</v>
          </cell>
          <cell r="F301">
            <v>45398</v>
          </cell>
          <cell r="G301">
            <v>31</v>
          </cell>
          <cell r="H301">
            <v>0</v>
          </cell>
          <cell r="I301">
            <v>5</v>
          </cell>
          <cell r="J301">
            <v>2</v>
          </cell>
          <cell r="K301">
            <v>24</v>
          </cell>
          <cell r="L301"/>
        </row>
        <row r="302">
          <cell r="B302" t="str">
            <v>SQFMD-0938</v>
          </cell>
          <cell r="C302" t="str">
            <v>Md Nura Alam</v>
          </cell>
          <cell r="D302" t="str">
            <v>Assistant Territory Sales officer</v>
          </cell>
          <cell r="E302" t="str">
            <v>Pesticide &amp; Fertilizer</v>
          </cell>
          <cell r="F302">
            <v>45398</v>
          </cell>
          <cell r="G302">
            <v>31</v>
          </cell>
          <cell r="H302">
            <v>0</v>
          </cell>
          <cell r="I302">
            <v>5</v>
          </cell>
          <cell r="J302">
            <v>2</v>
          </cell>
          <cell r="K302">
            <v>24</v>
          </cell>
          <cell r="L302"/>
        </row>
        <row r="303">
          <cell r="B303" t="str">
            <v>SQFMD-0939</v>
          </cell>
          <cell r="C303" t="str">
            <v>Md Ariful Islam</v>
          </cell>
          <cell r="D303" t="str">
            <v>Assistant Territory Sales officer</v>
          </cell>
          <cell r="E303" t="str">
            <v>Pesticide &amp; Fertilizer</v>
          </cell>
          <cell r="F303">
            <v>45398</v>
          </cell>
          <cell r="G303">
            <v>31</v>
          </cell>
          <cell r="H303">
            <v>2</v>
          </cell>
          <cell r="I303">
            <v>5</v>
          </cell>
          <cell r="J303">
            <v>2</v>
          </cell>
          <cell r="K303">
            <v>22</v>
          </cell>
          <cell r="L303"/>
        </row>
        <row r="304">
          <cell r="B304" t="str">
            <v>SQFMD-0940</v>
          </cell>
          <cell r="C304" t="str">
            <v>Md Kabir Hosen</v>
          </cell>
          <cell r="D304" t="str">
            <v>Territory Sales Officer</v>
          </cell>
          <cell r="E304" t="str">
            <v>Pesticide &amp; Fertilizer</v>
          </cell>
          <cell r="F304">
            <v>45398</v>
          </cell>
          <cell r="G304">
            <v>31</v>
          </cell>
          <cell r="H304">
            <v>0</v>
          </cell>
          <cell r="I304">
            <v>5</v>
          </cell>
          <cell r="J304">
            <v>2</v>
          </cell>
          <cell r="K304">
            <v>24</v>
          </cell>
          <cell r="L304"/>
        </row>
        <row r="305">
          <cell r="B305" t="str">
            <v>SQFMD-0941</v>
          </cell>
          <cell r="C305" t="str">
            <v>Nazmul Haque</v>
          </cell>
          <cell r="D305" t="str">
            <v>Sr. Territory Sales Officer</v>
          </cell>
          <cell r="E305" t="str">
            <v>Seed</v>
          </cell>
          <cell r="F305">
            <v>45398</v>
          </cell>
          <cell r="G305">
            <v>31</v>
          </cell>
          <cell r="H305">
            <v>2</v>
          </cell>
          <cell r="I305">
            <v>5</v>
          </cell>
          <cell r="J305">
            <v>2</v>
          </cell>
          <cell r="K305">
            <v>22</v>
          </cell>
          <cell r="L305"/>
        </row>
        <row r="306">
          <cell r="B306" t="str">
            <v>SQFMD-0942</v>
          </cell>
          <cell r="C306" t="str">
            <v>Md Anarul Islam</v>
          </cell>
          <cell r="D306" t="str">
            <v>Sr. Mechanic</v>
          </cell>
          <cell r="E306" t="str">
            <v>Technical</v>
          </cell>
          <cell r="F306">
            <v>45397</v>
          </cell>
          <cell r="G306">
            <v>31</v>
          </cell>
          <cell r="H306">
            <v>0</v>
          </cell>
          <cell r="I306">
            <v>5</v>
          </cell>
          <cell r="J306">
            <v>2</v>
          </cell>
          <cell r="K306">
            <v>24</v>
          </cell>
          <cell r="L306"/>
        </row>
        <row r="307">
          <cell r="B307" t="str">
            <v>SQFMD-0943</v>
          </cell>
          <cell r="C307" t="str">
            <v>Md Shahin Alam</v>
          </cell>
          <cell r="D307" t="str">
            <v>Sr. Mechanic</v>
          </cell>
          <cell r="E307" t="str">
            <v>Technical</v>
          </cell>
          <cell r="F307">
            <v>45400</v>
          </cell>
          <cell r="G307">
            <v>31</v>
          </cell>
          <cell r="H307">
            <v>0</v>
          </cell>
          <cell r="I307">
            <v>5</v>
          </cell>
          <cell r="J307">
            <v>2</v>
          </cell>
          <cell r="K307">
            <v>24</v>
          </cell>
          <cell r="L307"/>
        </row>
        <row r="308">
          <cell r="B308" t="str">
            <v>SQFMD-0944</v>
          </cell>
          <cell r="C308" t="str">
            <v>Md Yousuf Miah</v>
          </cell>
          <cell r="D308" t="str">
            <v>Mechanic</v>
          </cell>
          <cell r="E308" t="str">
            <v>Technical</v>
          </cell>
          <cell r="F308">
            <v>45397</v>
          </cell>
          <cell r="G308">
            <v>31</v>
          </cell>
          <cell r="H308">
            <v>0</v>
          </cell>
          <cell r="I308">
            <v>5</v>
          </cell>
          <cell r="J308">
            <v>2</v>
          </cell>
          <cell r="K308">
            <v>24</v>
          </cell>
          <cell r="L308"/>
        </row>
        <row r="309">
          <cell r="B309" t="str">
            <v>SQFMD-0945</v>
          </cell>
          <cell r="C309" t="str">
            <v>Shahinur Zaman</v>
          </cell>
          <cell r="D309" t="str">
            <v>Junior Mechanic</v>
          </cell>
          <cell r="E309" t="str">
            <v>Technical</v>
          </cell>
          <cell r="F309">
            <v>45384</v>
          </cell>
          <cell r="G309">
            <v>31</v>
          </cell>
          <cell r="H309">
            <v>0</v>
          </cell>
          <cell r="I309">
            <v>5</v>
          </cell>
          <cell r="J309">
            <v>2</v>
          </cell>
          <cell r="K309">
            <v>24</v>
          </cell>
          <cell r="L309"/>
        </row>
        <row r="310">
          <cell r="B310" t="str">
            <v>SQFMD-0946</v>
          </cell>
          <cell r="C310" t="str">
            <v>Md Hasinur Roshid</v>
          </cell>
          <cell r="D310" t="str">
            <v>Mechanic</v>
          </cell>
          <cell r="E310" t="str">
            <v>Technical</v>
          </cell>
          <cell r="F310">
            <v>45398</v>
          </cell>
          <cell r="G310">
            <v>31</v>
          </cell>
          <cell r="H310">
            <v>8</v>
          </cell>
          <cell r="I310">
            <v>5</v>
          </cell>
          <cell r="J310">
            <v>2</v>
          </cell>
          <cell r="K310">
            <v>16</v>
          </cell>
          <cell r="L310"/>
        </row>
        <row r="311">
          <cell r="B311" t="str">
            <v>SQFMD-0948</v>
          </cell>
          <cell r="C311" t="str">
            <v>Md Ainul Islam</v>
          </cell>
          <cell r="D311" t="str">
            <v>Mechanic</v>
          </cell>
          <cell r="E311" t="str">
            <v>Technical</v>
          </cell>
          <cell r="F311">
            <v>45388</v>
          </cell>
          <cell r="G311">
            <v>31</v>
          </cell>
          <cell r="H311">
            <v>0</v>
          </cell>
          <cell r="I311">
            <v>5</v>
          </cell>
          <cell r="J311">
            <v>2</v>
          </cell>
          <cell r="K311">
            <v>24</v>
          </cell>
          <cell r="L311"/>
        </row>
        <row r="312">
          <cell r="B312" t="str">
            <v>SQFMD-0949</v>
          </cell>
          <cell r="C312" t="str">
            <v>Masud Mia</v>
          </cell>
          <cell r="D312" t="str">
            <v>Mechanic</v>
          </cell>
          <cell r="E312" t="str">
            <v>Technical</v>
          </cell>
          <cell r="F312">
            <v>45402</v>
          </cell>
          <cell r="G312">
            <v>31</v>
          </cell>
          <cell r="H312">
            <v>1</v>
          </cell>
          <cell r="I312">
            <v>5</v>
          </cell>
          <cell r="J312">
            <v>2</v>
          </cell>
          <cell r="K312">
            <v>23</v>
          </cell>
          <cell r="L312"/>
        </row>
        <row r="313">
          <cell r="B313" t="str">
            <v>SQFMD-0950</v>
          </cell>
          <cell r="C313" t="str">
            <v>ABM Nizam Uddin</v>
          </cell>
          <cell r="D313" t="str">
            <v>Assistant Manager-Recovery</v>
          </cell>
          <cell r="E313" t="str">
            <v>S&amp;M</v>
          </cell>
          <cell r="F313">
            <v>45414</v>
          </cell>
          <cell r="G313">
            <v>31</v>
          </cell>
          <cell r="H313">
            <v>0</v>
          </cell>
          <cell r="I313">
            <v>5</v>
          </cell>
          <cell r="J313">
            <v>2</v>
          </cell>
          <cell r="K313">
            <v>24</v>
          </cell>
          <cell r="L313"/>
        </row>
        <row r="314">
          <cell r="B314" t="str">
            <v>SQFMD-0951</v>
          </cell>
          <cell r="C314" t="str">
            <v>Md Arnof Ahmed</v>
          </cell>
          <cell r="D314" t="str">
            <v>Lowbed Helper</v>
          </cell>
          <cell r="E314" t="str">
            <v>Transport</v>
          </cell>
          <cell r="F314">
            <v>45414</v>
          </cell>
          <cell r="G314">
            <v>31</v>
          </cell>
          <cell r="H314">
            <v>0</v>
          </cell>
          <cell r="I314">
            <v>5</v>
          </cell>
          <cell r="J314">
            <v>2</v>
          </cell>
          <cell r="K314">
            <v>24</v>
          </cell>
          <cell r="L314"/>
        </row>
        <row r="315">
          <cell r="B315" t="str">
            <v>SQFMD-0952</v>
          </cell>
          <cell r="C315" t="str">
            <v>Md Forhad Hosen</v>
          </cell>
          <cell r="D315" t="str">
            <v>Sr. Territory Sales Officer</v>
          </cell>
          <cell r="E315" t="str">
            <v>Seed</v>
          </cell>
          <cell r="F315">
            <v>45416</v>
          </cell>
          <cell r="G315">
            <v>31</v>
          </cell>
          <cell r="H315">
            <v>2</v>
          </cell>
          <cell r="I315">
            <v>5</v>
          </cell>
          <cell r="J315">
            <v>2</v>
          </cell>
          <cell r="K315">
            <v>22</v>
          </cell>
          <cell r="L315"/>
        </row>
        <row r="316">
          <cell r="B316" t="str">
            <v>SQFMD-0953</v>
          </cell>
          <cell r="C316" t="str">
            <v>Mohammed Iftekher Alam</v>
          </cell>
          <cell r="D316" t="str">
            <v>Consultant-BSFIC</v>
          </cell>
          <cell r="E316" t="str">
            <v>R&amp;D</v>
          </cell>
          <cell r="F316">
            <v>45405</v>
          </cell>
          <cell r="G316">
            <v>31</v>
          </cell>
          <cell r="H316">
            <v>0</v>
          </cell>
          <cell r="I316">
            <v>5</v>
          </cell>
          <cell r="J316">
            <v>2</v>
          </cell>
          <cell r="K316">
            <v>24</v>
          </cell>
          <cell r="L316"/>
        </row>
        <row r="317">
          <cell r="B317" t="str">
            <v>SQFMD-0957</v>
          </cell>
          <cell r="C317" t="str">
            <v>Md Sarab Hossen Murad</v>
          </cell>
          <cell r="D317" t="str">
            <v>Driver</v>
          </cell>
          <cell r="E317" t="str">
            <v>Transport</v>
          </cell>
          <cell r="F317">
            <v>45440</v>
          </cell>
          <cell r="G317">
            <v>31</v>
          </cell>
          <cell r="H317">
            <v>2</v>
          </cell>
          <cell r="I317">
            <v>5</v>
          </cell>
          <cell r="J317">
            <v>2</v>
          </cell>
          <cell r="K317">
            <v>22</v>
          </cell>
          <cell r="L317"/>
        </row>
        <row r="318">
          <cell r="B318" t="str">
            <v>SQFMD-0959</v>
          </cell>
          <cell r="C318" t="str">
            <v>Md Muniruzzaman</v>
          </cell>
          <cell r="D318" t="str">
            <v>Store Officer</v>
          </cell>
          <cell r="E318" t="str">
            <v>Store &amp; Logistics</v>
          </cell>
          <cell r="F318">
            <v>45466</v>
          </cell>
          <cell r="G318">
            <v>31</v>
          </cell>
          <cell r="H318">
            <v>2</v>
          </cell>
          <cell r="I318">
            <v>5</v>
          </cell>
          <cell r="J318">
            <v>2</v>
          </cell>
          <cell r="K318">
            <v>22</v>
          </cell>
          <cell r="L318"/>
        </row>
        <row r="319">
          <cell r="B319" t="str">
            <v>SQFMD-0960</v>
          </cell>
          <cell r="C319" t="str">
            <v>Md Bilash Hossain</v>
          </cell>
          <cell r="D319" t="str">
            <v>Office Assistant</v>
          </cell>
          <cell r="E319" t="str">
            <v>Admin</v>
          </cell>
          <cell r="F319">
            <v>45467</v>
          </cell>
          <cell r="G319">
            <v>31</v>
          </cell>
          <cell r="H319">
            <v>0</v>
          </cell>
          <cell r="I319">
            <v>5</v>
          </cell>
          <cell r="J319">
            <v>2</v>
          </cell>
          <cell r="K319">
            <v>24</v>
          </cell>
          <cell r="L319"/>
        </row>
        <row r="320">
          <cell r="B320" t="str">
            <v>SQFMD-0961</v>
          </cell>
          <cell r="C320" t="str">
            <v>Md Mogal Miah</v>
          </cell>
          <cell r="D320" t="str">
            <v>Sr. Territory Sales Officer</v>
          </cell>
          <cell r="E320" t="str">
            <v>Pesticide &amp; Fertilizer</v>
          </cell>
          <cell r="F320">
            <v>45468</v>
          </cell>
          <cell r="G320">
            <v>31</v>
          </cell>
          <cell r="H320">
            <v>0</v>
          </cell>
          <cell r="I320">
            <v>5</v>
          </cell>
          <cell r="J320">
            <v>2</v>
          </cell>
          <cell r="K320">
            <v>24</v>
          </cell>
          <cell r="L320"/>
        </row>
        <row r="321">
          <cell r="B321" t="str">
            <v>SQFMD-0962</v>
          </cell>
          <cell r="C321" t="str">
            <v>Md Ashraful Alam</v>
          </cell>
          <cell r="D321" t="str">
            <v>Driver</v>
          </cell>
          <cell r="E321" t="str">
            <v>Transport</v>
          </cell>
          <cell r="F321">
            <v>45444</v>
          </cell>
          <cell r="G321">
            <v>31</v>
          </cell>
          <cell r="H321">
            <v>0</v>
          </cell>
          <cell r="I321">
            <v>5</v>
          </cell>
          <cell r="J321">
            <v>2</v>
          </cell>
          <cell r="K321">
            <v>24</v>
          </cell>
          <cell r="L321"/>
        </row>
        <row r="322">
          <cell r="B322" t="str">
            <v>SQFMD-0954</v>
          </cell>
          <cell r="C322" t="str">
            <v>Md Shamim Ahmed</v>
          </cell>
          <cell r="D322" t="str">
            <v>Sr. General Manager</v>
          </cell>
          <cell r="E322" t="str">
            <v>S&amp;M</v>
          </cell>
          <cell r="F322">
            <v>45444</v>
          </cell>
          <cell r="G322">
            <v>31</v>
          </cell>
          <cell r="H322">
            <v>0</v>
          </cell>
          <cell r="I322">
            <v>5</v>
          </cell>
          <cell r="J322">
            <v>2</v>
          </cell>
          <cell r="K322">
            <v>24</v>
          </cell>
          <cell r="L322"/>
        </row>
        <row r="323">
          <cell r="B323" t="str">
            <v>SQFMD-0955</v>
          </cell>
          <cell r="C323" t="str">
            <v>Tofail Ahamed</v>
          </cell>
          <cell r="D323" t="str">
            <v>Sr. Manager</v>
          </cell>
          <cell r="E323" t="str">
            <v>Seed</v>
          </cell>
          <cell r="F323">
            <v>45444</v>
          </cell>
          <cell r="G323">
            <v>31</v>
          </cell>
          <cell r="H323">
            <v>1</v>
          </cell>
          <cell r="I323">
            <v>5</v>
          </cell>
          <cell r="J323">
            <v>2</v>
          </cell>
          <cell r="K323">
            <v>23</v>
          </cell>
          <cell r="L323"/>
        </row>
        <row r="324">
          <cell r="B324" t="str">
            <v>SQFMD-0956</v>
          </cell>
          <cell r="C324" t="str">
            <v>Jamal Hossain</v>
          </cell>
          <cell r="D324" t="str">
            <v>Manager</v>
          </cell>
          <cell r="E324" t="str">
            <v>Seed</v>
          </cell>
          <cell r="F324">
            <v>45446</v>
          </cell>
          <cell r="G324">
            <v>31</v>
          </cell>
          <cell r="H324">
            <v>0</v>
          </cell>
          <cell r="I324">
            <v>5</v>
          </cell>
          <cell r="J324">
            <v>2</v>
          </cell>
          <cell r="K324">
            <v>24</v>
          </cell>
          <cell r="L324"/>
        </row>
        <row r="325">
          <cell r="B325" t="str">
            <v>SQFMD-0963</v>
          </cell>
          <cell r="C325" t="str">
            <v>Md. Alamgir Hossain</v>
          </cell>
          <cell r="D325" t="str">
            <v>Sr. Territory Manager</v>
          </cell>
          <cell r="E325" t="str">
            <v>Pesticide &amp; Fertilizer</v>
          </cell>
          <cell r="F325">
            <v>45475</v>
          </cell>
          <cell r="G325">
            <v>31</v>
          </cell>
          <cell r="H325">
            <v>1</v>
          </cell>
          <cell r="I325">
            <v>5</v>
          </cell>
          <cell r="J325">
            <v>2</v>
          </cell>
          <cell r="K325">
            <v>23</v>
          </cell>
          <cell r="L325"/>
        </row>
        <row r="326">
          <cell r="B326" t="str">
            <v>SQFMD-0964</v>
          </cell>
          <cell r="C326" t="str">
            <v>Mohammod Rokon Ali</v>
          </cell>
          <cell r="D326" t="str">
            <v>Sr. Territory Sales Officer</v>
          </cell>
          <cell r="E326" t="str">
            <v>Pesticide &amp; Fertilizer</v>
          </cell>
          <cell r="F326">
            <v>45475</v>
          </cell>
          <cell r="G326">
            <v>31</v>
          </cell>
          <cell r="H326">
            <v>0</v>
          </cell>
          <cell r="I326">
            <v>5</v>
          </cell>
          <cell r="J326">
            <v>2</v>
          </cell>
          <cell r="K326">
            <v>24</v>
          </cell>
          <cell r="L326"/>
        </row>
        <row r="327">
          <cell r="B327" t="str">
            <v>SQFMD-0965</v>
          </cell>
          <cell r="C327" t="str">
            <v>Md. Habibur Rahman</v>
          </cell>
          <cell r="D327" t="str">
            <v>Sr. Territory Sales Officer</v>
          </cell>
          <cell r="E327" t="str">
            <v>Pesticide &amp; Fertilizer</v>
          </cell>
          <cell r="F327">
            <v>45475</v>
          </cell>
          <cell r="G327">
            <v>31</v>
          </cell>
          <cell r="H327">
            <v>0</v>
          </cell>
          <cell r="I327">
            <v>5</v>
          </cell>
          <cell r="J327">
            <v>2</v>
          </cell>
          <cell r="K327">
            <v>24</v>
          </cell>
          <cell r="L327"/>
        </row>
        <row r="328">
          <cell r="B328" t="str">
            <v>SQFMD-0966</v>
          </cell>
          <cell r="C328" t="str">
            <v>M M Shariful Islam</v>
          </cell>
          <cell r="D328" t="str">
            <v>Sr. Territory Sales Officer</v>
          </cell>
          <cell r="E328" t="str">
            <v>Pesticide &amp; Fertilizer</v>
          </cell>
          <cell r="F328">
            <v>45475</v>
          </cell>
          <cell r="G328">
            <v>31</v>
          </cell>
          <cell r="H328">
            <v>1</v>
          </cell>
          <cell r="I328">
            <v>5</v>
          </cell>
          <cell r="J328">
            <v>2</v>
          </cell>
          <cell r="K328">
            <v>23</v>
          </cell>
          <cell r="L328"/>
        </row>
        <row r="329">
          <cell r="B329" t="str">
            <v>SQFMD-0967</v>
          </cell>
          <cell r="C329" t="str">
            <v>Md. Monirul Islam</v>
          </cell>
          <cell r="D329" t="str">
            <v>Sr. Territory Sales Officer</v>
          </cell>
          <cell r="E329" t="str">
            <v>Pesticide &amp; Fertilizer</v>
          </cell>
          <cell r="F329">
            <v>45475</v>
          </cell>
          <cell r="G329">
            <v>31</v>
          </cell>
          <cell r="H329">
            <v>0</v>
          </cell>
          <cell r="I329">
            <v>5</v>
          </cell>
          <cell r="J329">
            <v>2</v>
          </cell>
          <cell r="K329">
            <v>24</v>
          </cell>
          <cell r="L329"/>
        </row>
        <row r="330">
          <cell r="B330" t="str">
            <v>SQFMD-0968</v>
          </cell>
          <cell r="C330" t="str">
            <v>Md. Sagor Hossen</v>
          </cell>
          <cell r="D330" t="str">
            <v>Territory Sales Officer</v>
          </cell>
          <cell r="E330" t="str">
            <v>Pesticide &amp; Fertilizer</v>
          </cell>
          <cell r="F330">
            <v>45475</v>
          </cell>
          <cell r="G330">
            <v>31</v>
          </cell>
          <cell r="H330">
            <v>2</v>
          </cell>
          <cell r="I330">
            <v>5</v>
          </cell>
          <cell r="J330">
            <v>2</v>
          </cell>
          <cell r="K330">
            <v>22</v>
          </cell>
          <cell r="L330"/>
        </row>
        <row r="331">
          <cell r="B331" t="str">
            <v>SQFMD-0969</v>
          </cell>
          <cell r="C331" t="str">
            <v>Milon Roy</v>
          </cell>
          <cell r="D331" t="str">
            <v>Territory Sales Officer</v>
          </cell>
          <cell r="E331" t="str">
            <v>Pesticide &amp; Fertilizer</v>
          </cell>
          <cell r="F331">
            <v>45475</v>
          </cell>
          <cell r="G331">
            <v>31</v>
          </cell>
          <cell r="H331">
            <v>0</v>
          </cell>
          <cell r="I331">
            <v>5</v>
          </cell>
          <cell r="J331">
            <v>2</v>
          </cell>
          <cell r="K331">
            <v>24</v>
          </cell>
          <cell r="L331"/>
        </row>
        <row r="332">
          <cell r="B332" t="str">
            <v>SQFMD-0970</v>
          </cell>
          <cell r="C332" t="str">
            <v>Md. Rashed Dastgir</v>
          </cell>
          <cell r="D332" t="str">
            <v>Assistant Manager (R&amp;D)</v>
          </cell>
          <cell r="E332" t="str">
            <v>Pesticide &amp; Fertilizer</v>
          </cell>
          <cell r="F332">
            <v>45475</v>
          </cell>
          <cell r="G332">
            <v>31</v>
          </cell>
          <cell r="H332">
            <v>0</v>
          </cell>
          <cell r="I332">
            <v>5</v>
          </cell>
          <cell r="J332">
            <v>2</v>
          </cell>
          <cell r="K332">
            <v>24</v>
          </cell>
          <cell r="L332"/>
        </row>
        <row r="333">
          <cell r="B333" t="str">
            <v>SQFMD-0971</v>
          </cell>
          <cell r="C333" t="str">
            <v>Md. Rofiqul Islam</v>
          </cell>
          <cell r="D333" t="str">
            <v>Logistic Officer</v>
          </cell>
          <cell r="E333" t="str">
            <v>Pesticide &amp; Fertilizer</v>
          </cell>
          <cell r="F333">
            <v>45479</v>
          </cell>
          <cell r="G333">
            <v>31</v>
          </cell>
          <cell r="H333">
            <v>3</v>
          </cell>
          <cell r="I333">
            <v>5</v>
          </cell>
          <cell r="J333">
            <v>2</v>
          </cell>
          <cell r="K333">
            <v>21</v>
          </cell>
          <cell r="L333"/>
        </row>
        <row r="334">
          <cell r="B334" t="str">
            <v>SQFMD-0972</v>
          </cell>
          <cell r="C334" t="str">
            <v>Khan Sadat Anwar</v>
          </cell>
          <cell r="D334" t="str">
            <v>Consultant</v>
          </cell>
          <cell r="E334" t="str">
            <v>HR &amp; Admin</v>
          </cell>
          <cell r="F334">
            <v>45477</v>
          </cell>
          <cell r="G334">
            <v>31</v>
          </cell>
          <cell r="H334">
            <v>0</v>
          </cell>
          <cell r="I334">
            <v>5</v>
          </cell>
          <cell r="J334">
            <v>2</v>
          </cell>
          <cell r="K334">
            <v>24</v>
          </cell>
          <cell r="L334"/>
        </row>
        <row r="335">
          <cell r="B335" t="str">
            <v>SQFMD-0973</v>
          </cell>
          <cell r="C335" t="str">
            <v>Md. Ahshan Ullah Khan</v>
          </cell>
          <cell r="D335" t="str">
            <v>Site Officer</v>
          </cell>
          <cell r="E335" t="str">
            <v>Pesticide &amp; Fertilizer</v>
          </cell>
          <cell r="F335">
            <v>45444</v>
          </cell>
          <cell r="G335">
            <v>31</v>
          </cell>
          <cell r="H335">
            <v>2</v>
          </cell>
          <cell r="I335">
            <v>5</v>
          </cell>
          <cell r="J335">
            <v>2</v>
          </cell>
          <cell r="K335">
            <v>22</v>
          </cell>
          <cell r="L335"/>
        </row>
        <row r="336">
          <cell r="B336" t="str">
            <v>SQFMD-0974</v>
          </cell>
          <cell r="C336" t="str">
            <v>Moniruzzman</v>
          </cell>
          <cell r="D336" t="str">
            <v>Territory Sales Officer</v>
          </cell>
          <cell r="E336" t="str">
            <v>Pesticide &amp; Fertilizer</v>
          </cell>
          <cell r="F336">
            <v>45483</v>
          </cell>
          <cell r="G336">
            <v>31</v>
          </cell>
          <cell r="H336">
            <v>2</v>
          </cell>
          <cell r="I336">
            <v>5</v>
          </cell>
          <cell r="J336">
            <v>2</v>
          </cell>
          <cell r="K336">
            <v>22</v>
          </cell>
          <cell r="L336"/>
        </row>
        <row r="337">
          <cell r="B337" t="str">
            <v>SQFMD-0975</v>
          </cell>
          <cell r="C337" t="str">
            <v>Md.Rahim Badsha</v>
          </cell>
          <cell r="D337" t="str">
            <v>Driver</v>
          </cell>
          <cell r="E337" t="str">
            <v>Transport</v>
          </cell>
          <cell r="F337">
            <v>45474</v>
          </cell>
          <cell r="G337">
            <v>31</v>
          </cell>
          <cell r="H337">
            <v>2</v>
          </cell>
          <cell r="I337">
            <v>5</v>
          </cell>
          <cell r="J337">
            <v>2</v>
          </cell>
          <cell r="K337">
            <v>22</v>
          </cell>
          <cell r="L337"/>
        </row>
        <row r="338">
          <cell r="B338" t="str">
            <v>SQFMD-0976</v>
          </cell>
          <cell r="C338" t="str">
            <v>Abdullah</v>
          </cell>
          <cell r="D338" t="str">
            <v>Jr. Mechanic</v>
          </cell>
          <cell r="E338" t="str">
            <v>Technical</v>
          </cell>
          <cell r="F338">
            <v>45474</v>
          </cell>
          <cell r="G338">
            <v>31</v>
          </cell>
          <cell r="H338">
            <v>0</v>
          </cell>
          <cell r="I338">
            <v>5</v>
          </cell>
          <cell r="J338">
            <v>2</v>
          </cell>
          <cell r="K338">
            <v>24</v>
          </cell>
          <cell r="L338">
            <v>19</v>
          </cell>
        </row>
        <row r="339">
          <cell r="B339" t="str">
            <v>SQFMD-0977</v>
          </cell>
          <cell r="C339" t="str">
            <v>Md Sohel Rana</v>
          </cell>
          <cell r="D339" t="str">
            <v>Assistant Mechanic</v>
          </cell>
          <cell r="E339" t="str">
            <v>Technical</v>
          </cell>
          <cell r="F339">
            <v>45474</v>
          </cell>
          <cell r="G339">
            <v>31</v>
          </cell>
          <cell r="H339">
            <v>0</v>
          </cell>
          <cell r="I339">
            <v>5</v>
          </cell>
          <cell r="J339">
            <v>2</v>
          </cell>
          <cell r="K339">
            <v>24</v>
          </cell>
          <cell r="L339"/>
        </row>
        <row r="340">
          <cell r="B340" t="str">
            <v>SQFMD-0978</v>
          </cell>
          <cell r="C340" t="str">
            <v>Md Ariful Islam</v>
          </cell>
          <cell r="D340" t="str">
            <v>Mechanic</v>
          </cell>
          <cell r="E340" t="str">
            <v>Technical</v>
          </cell>
          <cell r="F340">
            <v>45479</v>
          </cell>
          <cell r="G340">
            <v>31</v>
          </cell>
          <cell r="H340">
            <v>0</v>
          </cell>
          <cell r="I340">
            <v>5</v>
          </cell>
          <cell r="J340">
            <v>2</v>
          </cell>
          <cell r="K340">
            <v>24</v>
          </cell>
          <cell r="L340"/>
        </row>
        <row r="341">
          <cell r="B341" t="str">
            <v>SQFMD-0979</v>
          </cell>
          <cell r="C341" t="str">
            <v>Md Al Amin</v>
          </cell>
          <cell r="D341" t="str">
            <v>Mechanic</v>
          </cell>
          <cell r="E341" t="str">
            <v>Technical</v>
          </cell>
          <cell r="F341">
            <v>45477</v>
          </cell>
          <cell r="G341">
            <v>31</v>
          </cell>
          <cell r="H341">
            <v>0</v>
          </cell>
          <cell r="I341">
            <v>5</v>
          </cell>
          <cell r="J341">
            <v>2</v>
          </cell>
          <cell r="K341">
            <v>24</v>
          </cell>
          <cell r="L341"/>
        </row>
        <row r="342">
          <cell r="B342" t="str">
            <v>SQFMD-0980</v>
          </cell>
          <cell r="C342" t="str">
            <v>Md Iqbal Hossen</v>
          </cell>
          <cell r="D342" t="str">
            <v>Sr. Territory Sales Officer</v>
          </cell>
          <cell r="E342" t="str">
            <v>Pesticide &amp; Fertilizer</v>
          </cell>
          <cell r="F342">
            <v>45505</v>
          </cell>
          <cell r="G342">
            <v>31</v>
          </cell>
          <cell r="H342">
            <v>1</v>
          </cell>
          <cell r="I342">
            <v>5</v>
          </cell>
          <cell r="J342">
            <v>2</v>
          </cell>
          <cell r="K342">
            <v>23</v>
          </cell>
          <cell r="L342"/>
        </row>
        <row r="343">
          <cell r="B343" t="str">
            <v>SQFMD-0981</v>
          </cell>
          <cell r="C343" t="str">
            <v>Nipa Monalisha</v>
          </cell>
          <cell r="D343" t="str">
            <v>Jr. Executive</v>
          </cell>
          <cell r="E343" t="str">
            <v>Auditor &amp; Monitoring</v>
          </cell>
          <cell r="F343">
            <v>45505</v>
          </cell>
          <cell r="G343">
            <v>31</v>
          </cell>
          <cell r="H343">
            <v>0</v>
          </cell>
          <cell r="I343">
            <v>5</v>
          </cell>
          <cell r="J343">
            <v>2</v>
          </cell>
          <cell r="K343">
            <v>24</v>
          </cell>
          <cell r="L343"/>
        </row>
        <row r="344">
          <cell r="B344" t="str">
            <v>SQFMD-0982</v>
          </cell>
          <cell r="C344" t="str">
            <v>Md. Abdul Hoque</v>
          </cell>
          <cell r="D344" t="str">
            <v>Sr. Territory Sales Officer</v>
          </cell>
          <cell r="E344" t="str">
            <v>Pesticide &amp; Fertilizer</v>
          </cell>
          <cell r="F344">
            <v>45505</v>
          </cell>
          <cell r="G344">
            <v>31</v>
          </cell>
          <cell r="H344">
            <v>0</v>
          </cell>
          <cell r="I344">
            <v>5</v>
          </cell>
          <cell r="J344">
            <v>2</v>
          </cell>
          <cell r="K344">
            <v>24</v>
          </cell>
          <cell r="L344"/>
        </row>
        <row r="345">
          <cell r="B345" t="str">
            <v>SQFMD-0983</v>
          </cell>
          <cell r="C345" t="str">
            <v>Md. Amirul Islam</v>
          </cell>
          <cell r="D345" t="str">
            <v>Deputy Manager</v>
          </cell>
          <cell r="E345" t="str">
            <v>Pesticide &amp; Fertilizer</v>
          </cell>
          <cell r="F345">
            <v>45507</v>
          </cell>
          <cell r="G345">
            <v>31</v>
          </cell>
          <cell r="H345">
            <v>2</v>
          </cell>
          <cell r="I345">
            <v>5</v>
          </cell>
          <cell r="J345">
            <v>2</v>
          </cell>
          <cell r="K345">
            <v>22</v>
          </cell>
          <cell r="L345">
            <v>2</v>
          </cell>
        </row>
        <row r="346">
          <cell r="B346" t="str">
            <v>SQFMD-0984</v>
          </cell>
          <cell r="C346" t="str">
            <v>Md Alal Hossain Mithu</v>
          </cell>
          <cell r="D346" t="str">
            <v>Territory Sales Officer</v>
          </cell>
          <cell r="E346" t="str">
            <v>Seed</v>
          </cell>
          <cell r="F346">
            <v>45514</v>
          </cell>
          <cell r="G346">
            <v>31</v>
          </cell>
          <cell r="H346">
            <v>0</v>
          </cell>
          <cell r="I346">
            <v>5</v>
          </cell>
          <cell r="J346">
            <v>2</v>
          </cell>
          <cell r="K346">
            <v>24</v>
          </cell>
          <cell r="L346">
            <v>9</v>
          </cell>
        </row>
        <row r="347">
          <cell r="B347"/>
          <cell r="C347"/>
          <cell r="D347"/>
          <cell r="E347"/>
          <cell r="F347"/>
          <cell r="G347"/>
          <cell r="H347"/>
          <cell r="I347"/>
          <cell r="J347"/>
          <cell r="K347"/>
          <cell r="L347"/>
        </row>
        <row r="348">
          <cell r="B348"/>
          <cell r="C348"/>
          <cell r="D348"/>
          <cell r="E348"/>
          <cell r="F348"/>
          <cell r="G348"/>
          <cell r="H348"/>
          <cell r="I348"/>
          <cell r="J348"/>
          <cell r="K348"/>
          <cell r="L348"/>
        </row>
        <row r="349">
          <cell r="B349"/>
          <cell r="C349"/>
          <cell r="D349"/>
          <cell r="E349"/>
          <cell r="F349"/>
          <cell r="G349"/>
          <cell r="H349"/>
          <cell r="I349"/>
          <cell r="J349"/>
          <cell r="K349"/>
          <cell r="L349"/>
        </row>
        <row r="350">
          <cell r="B350"/>
          <cell r="C350"/>
          <cell r="D350"/>
          <cell r="E350"/>
          <cell r="F350"/>
          <cell r="G350"/>
          <cell r="H350"/>
          <cell r="I350"/>
          <cell r="J350"/>
          <cell r="K350"/>
          <cell r="L350"/>
        </row>
        <row r="351">
          <cell r="B351"/>
          <cell r="C351"/>
          <cell r="D351"/>
          <cell r="E351"/>
          <cell r="F351"/>
          <cell r="G351"/>
          <cell r="H351"/>
          <cell r="I351"/>
          <cell r="J351"/>
          <cell r="K351"/>
          <cell r="L351"/>
        </row>
        <row r="352">
          <cell r="B352"/>
          <cell r="C352"/>
          <cell r="D352"/>
          <cell r="E352"/>
          <cell r="F352"/>
          <cell r="G352"/>
          <cell r="H352"/>
          <cell r="I352"/>
          <cell r="J352"/>
          <cell r="K352"/>
          <cell r="L352"/>
        </row>
        <row r="353">
          <cell r="B353"/>
          <cell r="C353"/>
          <cell r="D353"/>
          <cell r="E353"/>
          <cell r="F353"/>
          <cell r="G353"/>
          <cell r="H353"/>
          <cell r="I353"/>
          <cell r="J353"/>
          <cell r="K353"/>
          <cell r="L353"/>
        </row>
        <row r="354">
          <cell r="B354"/>
          <cell r="C354"/>
          <cell r="D354"/>
          <cell r="E354"/>
          <cell r="F354"/>
          <cell r="G354"/>
          <cell r="H354"/>
          <cell r="I354"/>
          <cell r="J354"/>
          <cell r="K354"/>
          <cell r="L354"/>
        </row>
        <row r="355">
          <cell r="B355"/>
          <cell r="C355"/>
          <cell r="D355"/>
          <cell r="E355"/>
          <cell r="F355"/>
          <cell r="G355"/>
          <cell r="H355"/>
          <cell r="I355"/>
          <cell r="J355"/>
          <cell r="K355"/>
          <cell r="L355"/>
        </row>
        <row r="356">
          <cell r="B356"/>
          <cell r="C356"/>
          <cell r="D356"/>
          <cell r="E356"/>
          <cell r="F356"/>
          <cell r="G356"/>
          <cell r="H356"/>
          <cell r="I356"/>
          <cell r="J356"/>
          <cell r="K356"/>
          <cell r="L356"/>
        </row>
        <row r="357">
          <cell r="B357"/>
          <cell r="C357"/>
          <cell r="D357"/>
          <cell r="E357"/>
          <cell r="F357"/>
          <cell r="G357"/>
          <cell r="H357"/>
          <cell r="I357"/>
          <cell r="J357"/>
          <cell r="K357"/>
          <cell r="L357"/>
        </row>
        <row r="358">
          <cell r="B358"/>
          <cell r="C358"/>
          <cell r="D358"/>
          <cell r="E358"/>
          <cell r="F358"/>
          <cell r="G358"/>
          <cell r="H358"/>
          <cell r="I358"/>
          <cell r="J358"/>
          <cell r="K358"/>
          <cell r="L358"/>
        </row>
        <row r="359">
          <cell r="B359"/>
          <cell r="C359"/>
          <cell r="D359"/>
          <cell r="E359"/>
          <cell r="F359"/>
          <cell r="G359"/>
          <cell r="H359"/>
          <cell r="I359"/>
          <cell r="J359"/>
          <cell r="K359"/>
          <cell r="L359"/>
        </row>
        <row r="360">
          <cell r="B360"/>
          <cell r="C360"/>
          <cell r="D360"/>
          <cell r="E360"/>
          <cell r="F360"/>
          <cell r="G360"/>
          <cell r="H360"/>
          <cell r="I360"/>
          <cell r="J360"/>
          <cell r="K360"/>
          <cell r="L360"/>
        </row>
        <row r="361">
          <cell r="B361"/>
          <cell r="C361"/>
          <cell r="D361"/>
          <cell r="E361"/>
          <cell r="F361"/>
          <cell r="G361"/>
          <cell r="H361"/>
          <cell r="I361"/>
          <cell r="J361"/>
          <cell r="K361"/>
          <cell r="L361"/>
        </row>
        <row r="362">
          <cell r="B362"/>
          <cell r="C362"/>
          <cell r="D362"/>
          <cell r="E362"/>
          <cell r="F362"/>
          <cell r="G362"/>
          <cell r="H362"/>
          <cell r="I362"/>
          <cell r="J362"/>
          <cell r="K362"/>
          <cell r="L362"/>
        </row>
        <row r="363">
          <cell r="B363"/>
          <cell r="C363"/>
          <cell r="D363"/>
          <cell r="E363"/>
          <cell r="F363"/>
          <cell r="G363"/>
          <cell r="H363"/>
          <cell r="I363"/>
          <cell r="J363"/>
          <cell r="K363"/>
          <cell r="L363"/>
        </row>
        <row r="364">
          <cell r="B364"/>
          <cell r="C364"/>
          <cell r="D364"/>
          <cell r="E364"/>
          <cell r="F364"/>
          <cell r="G364"/>
          <cell r="H364"/>
          <cell r="I364"/>
          <cell r="J364"/>
          <cell r="K364"/>
          <cell r="L364"/>
        </row>
        <row r="365">
          <cell r="B365"/>
          <cell r="C365"/>
          <cell r="D365"/>
          <cell r="E365"/>
          <cell r="F365"/>
          <cell r="G365"/>
          <cell r="H365"/>
          <cell r="I365"/>
          <cell r="J365"/>
          <cell r="K365"/>
          <cell r="L365"/>
        </row>
        <row r="366">
          <cell r="B366"/>
          <cell r="C366"/>
          <cell r="D366"/>
          <cell r="E366"/>
          <cell r="F366"/>
          <cell r="G366"/>
          <cell r="H366"/>
          <cell r="I366"/>
          <cell r="J366"/>
          <cell r="K366"/>
          <cell r="L366"/>
        </row>
        <row r="367">
          <cell r="B367"/>
          <cell r="C367"/>
          <cell r="D367"/>
          <cell r="E367"/>
          <cell r="F367"/>
          <cell r="G367"/>
          <cell r="H367"/>
          <cell r="I367"/>
          <cell r="J367"/>
          <cell r="K367"/>
          <cell r="L367"/>
        </row>
        <row r="368">
          <cell r="F368"/>
          <cell r="H368"/>
          <cell r="I368"/>
          <cell r="J368"/>
        </row>
      </sheetData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um-Dep."/>
      <sheetName val="Sum-Unit"/>
      <sheetName val="Salary -May-2024"/>
      <sheetName val="Seed - Salary -April-23"/>
      <sheetName val="BSFIC"/>
      <sheetName val="CEO-R&amp;D"/>
      <sheetName val="GM-Fin"/>
      <sheetName val="H"/>
      <sheetName val="T"/>
      <sheetName val="P"/>
      <sheetName val="F"/>
      <sheetName val="S"/>
      <sheetName val="A"/>
      <sheetName val="Forw.-360"/>
      <sheetName val="Bank Sum-360"/>
      <sheetName val="Forw.-801"/>
      <sheetName val="Bank Sum-801"/>
      <sheetName val="55 Bike "/>
      <sheetName val="Lunch bill"/>
      <sheetName val="Atte."/>
      <sheetName val="MAY-24"/>
      <sheetName val="Increment"/>
      <sheetName val="Incentive."/>
    </sheetNames>
    <sheetDataSet>
      <sheetData sheetId="0">
        <row r="1">
          <cell r="A1" t="str">
            <v>SQ Trading &amp; Engineering - FMD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6">
          <cell r="B6" t="str">
            <v>SQFMD-0445</v>
          </cell>
          <cell r="C6" t="str">
            <v>Md. Sabbir Rahman</v>
          </cell>
          <cell r="D6" t="str">
            <v>Manager</v>
          </cell>
          <cell r="E6" t="str">
            <v>Commercial &amp; SCM</v>
          </cell>
          <cell r="F6">
            <v>43862</v>
          </cell>
          <cell r="G6">
            <v>31</v>
          </cell>
          <cell r="H6">
            <v>3</v>
          </cell>
          <cell r="I6">
            <v>5</v>
          </cell>
          <cell r="J6">
            <v>2</v>
          </cell>
          <cell r="K6">
            <v>21</v>
          </cell>
          <cell r="L6"/>
        </row>
        <row r="7">
          <cell r="B7" t="str">
            <v>SQFMD-0501</v>
          </cell>
          <cell r="C7" t="str">
            <v>Md Rabiul Islam</v>
          </cell>
          <cell r="D7" t="str">
            <v>Executive Accounts</v>
          </cell>
          <cell r="E7" t="str">
            <v>Finance &amp; Accounts</v>
          </cell>
          <cell r="F7">
            <v>44495</v>
          </cell>
          <cell r="G7">
            <v>31</v>
          </cell>
          <cell r="H7">
            <v>0</v>
          </cell>
          <cell r="I7">
            <v>5</v>
          </cell>
          <cell r="J7">
            <v>2</v>
          </cell>
          <cell r="K7">
            <v>24</v>
          </cell>
          <cell r="L7"/>
        </row>
        <row r="8">
          <cell r="B8" t="str">
            <v>SQFMD-0502</v>
          </cell>
          <cell r="C8" t="str">
            <v>Md Shariful Alam</v>
          </cell>
          <cell r="D8" t="str">
            <v>Manager</v>
          </cell>
          <cell r="E8" t="str">
            <v>Store &amp; Logistics</v>
          </cell>
          <cell r="F8">
            <v>44332</v>
          </cell>
          <cell r="G8">
            <v>31</v>
          </cell>
          <cell r="H8">
            <v>0</v>
          </cell>
          <cell r="I8">
            <v>5</v>
          </cell>
          <cell r="J8">
            <v>2</v>
          </cell>
          <cell r="K8">
            <v>24</v>
          </cell>
          <cell r="L8"/>
        </row>
        <row r="9">
          <cell r="B9" t="str">
            <v>SQFMD-0503</v>
          </cell>
          <cell r="C9" t="str">
            <v>Md. A. Wadud Mollah</v>
          </cell>
          <cell r="D9" t="str">
            <v>AGM</v>
          </cell>
          <cell r="E9" t="str">
            <v>S&amp;M</v>
          </cell>
          <cell r="F9">
            <v>44317</v>
          </cell>
          <cell r="G9">
            <v>31</v>
          </cell>
          <cell r="H9">
            <v>0</v>
          </cell>
          <cell r="I9">
            <v>5</v>
          </cell>
          <cell r="J9">
            <v>2</v>
          </cell>
          <cell r="K9">
            <v>24</v>
          </cell>
          <cell r="L9"/>
        </row>
        <row r="10">
          <cell r="B10" t="str">
            <v>SQFMD-0504</v>
          </cell>
          <cell r="C10" t="str">
            <v>Md. Sultan Mahmud</v>
          </cell>
          <cell r="D10" t="str">
            <v>AGM</v>
          </cell>
          <cell r="E10" t="str">
            <v>S&amp;M</v>
          </cell>
          <cell r="F10">
            <v>44343</v>
          </cell>
          <cell r="G10">
            <v>31</v>
          </cell>
          <cell r="H10">
            <v>0</v>
          </cell>
          <cell r="I10">
            <v>5</v>
          </cell>
          <cell r="J10">
            <v>2</v>
          </cell>
          <cell r="K10">
            <v>24</v>
          </cell>
          <cell r="L10"/>
        </row>
        <row r="11">
          <cell r="B11" t="str">
            <v>SQFMD-0506</v>
          </cell>
          <cell r="C11" t="str">
            <v>Minhaz Al Haque</v>
          </cell>
          <cell r="D11" t="str">
            <v>RM</v>
          </cell>
          <cell r="E11" t="str">
            <v>S&amp;M</v>
          </cell>
          <cell r="F11">
            <v>44440</v>
          </cell>
          <cell r="G11">
            <v>31</v>
          </cell>
          <cell r="H11">
            <v>0</v>
          </cell>
          <cell r="I11">
            <v>5</v>
          </cell>
          <cell r="J11">
            <v>2</v>
          </cell>
          <cell r="K11">
            <v>24</v>
          </cell>
          <cell r="L11"/>
        </row>
        <row r="12">
          <cell r="B12" t="str">
            <v>SQFMD-0508</v>
          </cell>
          <cell r="C12" t="str">
            <v>Md. Ibrahim Miah</v>
          </cell>
          <cell r="D12" t="str">
            <v>Sr. Regional Manager</v>
          </cell>
          <cell r="E12" t="str">
            <v>S&amp;M</v>
          </cell>
          <cell r="F12">
            <v>44472</v>
          </cell>
          <cell r="G12">
            <v>31</v>
          </cell>
          <cell r="H12">
            <v>0</v>
          </cell>
          <cell r="I12">
            <v>5</v>
          </cell>
          <cell r="J12">
            <v>2</v>
          </cell>
          <cell r="K12">
            <v>24</v>
          </cell>
          <cell r="L12"/>
        </row>
        <row r="13">
          <cell r="B13" t="str">
            <v>SQFMD-0510</v>
          </cell>
          <cell r="C13" t="str">
            <v>Md. Azharul Islam</v>
          </cell>
          <cell r="D13" t="str">
            <v>STSO</v>
          </cell>
          <cell r="E13" t="str">
            <v>S&amp;M</v>
          </cell>
          <cell r="F13">
            <v>44467</v>
          </cell>
          <cell r="G13">
            <v>31</v>
          </cell>
          <cell r="H13">
            <v>0</v>
          </cell>
          <cell r="I13">
            <v>5</v>
          </cell>
          <cell r="J13">
            <v>2</v>
          </cell>
          <cell r="K13">
            <v>24</v>
          </cell>
          <cell r="L13"/>
        </row>
        <row r="14">
          <cell r="B14" t="str">
            <v>SQFMD-0511</v>
          </cell>
          <cell r="C14" t="str">
            <v>Md. Shafiq Miah</v>
          </cell>
          <cell r="D14" t="str">
            <v>Mechanic</v>
          </cell>
          <cell r="E14" t="str">
            <v>Technical</v>
          </cell>
          <cell r="F14">
            <v>44362</v>
          </cell>
          <cell r="G14">
            <v>31</v>
          </cell>
          <cell r="H14">
            <v>0</v>
          </cell>
          <cell r="I14">
            <v>5</v>
          </cell>
          <cell r="J14">
            <v>2</v>
          </cell>
          <cell r="K14">
            <v>24</v>
          </cell>
          <cell r="L14"/>
        </row>
        <row r="15">
          <cell r="B15" t="str">
            <v>SQFMD-0512</v>
          </cell>
          <cell r="C15" t="str">
            <v>Nazmun Sadman Sakib</v>
          </cell>
          <cell r="D15" t="str">
            <v>Assistant Manager</v>
          </cell>
          <cell r="E15" t="str">
            <v>Audit &amp; Monitoring</v>
          </cell>
          <cell r="F15">
            <v>44556</v>
          </cell>
          <cell r="G15">
            <v>31</v>
          </cell>
          <cell r="H15">
            <v>0</v>
          </cell>
          <cell r="I15">
            <v>5</v>
          </cell>
          <cell r="J15">
            <v>2</v>
          </cell>
          <cell r="K15">
            <v>24</v>
          </cell>
          <cell r="L15"/>
        </row>
        <row r="16">
          <cell r="B16" t="str">
            <v>SQFMD-0513</v>
          </cell>
          <cell r="C16" t="str">
            <v>Md. Mahfuzur Rahman Sazal</v>
          </cell>
          <cell r="D16" t="str">
            <v>Assistant Manager</v>
          </cell>
          <cell r="E16" t="str">
            <v>Finance &amp; Accounts</v>
          </cell>
          <cell r="F16">
            <v>44566</v>
          </cell>
          <cell r="G16">
            <v>31</v>
          </cell>
          <cell r="H16">
            <v>0</v>
          </cell>
          <cell r="I16">
            <v>5</v>
          </cell>
          <cell r="J16">
            <v>2</v>
          </cell>
          <cell r="K16">
            <v>24</v>
          </cell>
          <cell r="L16"/>
        </row>
        <row r="17">
          <cell r="B17" t="str">
            <v>SQFMD-0515</v>
          </cell>
          <cell r="C17" t="str">
            <v>Md. Kawsaruzzaman</v>
          </cell>
          <cell r="D17" t="str">
            <v>Deputy Manager</v>
          </cell>
          <cell r="E17" t="str">
            <v>HR &amp; Admin</v>
          </cell>
          <cell r="F17">
            <v>44580</v>
          </cell>
          <cell r="G17">
            <v>31</v>
          </cell>
          <cell r="H17">
            <v>1</v>
          </cell>
          <cell r="I17">
            <v>5</v>
          </cell>
          <cell r="J17">
            <v>2</v>
          </cell>
          <cell r="K17">
            <v>23</v>
          </cell>
          <cell r="L17"/>
        </row>
        <row r="18">
          <cell r="B18" t="str">
            <v>SQFMD-0516</v>
          </cell>
          <cell r="C18" t="str">
            <v>Ashfaq Ahmed</v>
          </cell>
          <cell r="D18" t="str">
            <v>DGM</v>
          </cell>
          <cell r="E18" t="str">
            <v>S&amp;M</v>
          </cell>
          <cell r="F18">
            <v>44593</v>
          </cell>
          <cell r="G18">
            <v>31</v>
          </cell>
          <cell r="H18">
            <v>0</v>
          </cell>
          <cell r="I18">
            <v>5</v>
          </cell>
          <cell r="J18">
            <v>2</v>
          </cell>
          <cell r="K18">
            <v>24</v>
          </cell>
          <cell r="L18"/>
        </row>
        <row r="19">
          <cell r="B19" t="str">
            <v>SQFMD-0517</v>
          </cell>
          <cell r="C19" t="str">
            <v>Md. Mohidul Islam Chowdhury</v>
          </cell>
          <cell r="D19" t="str">
            <v>COO</v>
          </cell>
          <cell r="E19" t="str">
            <v>Pesticide &amp; Fertilizer</v>
          </cell>
          <cell r="F19">
            <v>44555</v>
          </cell>
          <cell r="G19">
            <v>31</v>
          </cell>
          <cell r="H19">
            <v>0</v>
          </cell>
          <cell r="I19">
            <v>5</v>
          </cell>
          <cell r="J19">
            <v>2</v>
          </cell>
          <cell r="K19">
            <v>24</v>
          </cell>
          <cell r="L19"/>
        </row>
        <row r="20">
          <cell r="B20" t="str">
            <v>SQFMD-0518</v>
          </cell>
          <cell r="C20" t="str">
            <v>Md. Tohidur Rahman</v>
          </cell>
          <cell r="D20" t="str">
            <v>Senior Manager</v>
          </cell>
          <cell r="E20" t="str">
            <v>Commercial &amp; SCM</v>
          </cell>
          <cell r="F20">
            <v>44607</v>
          </cell>
          <cell r="G20">
            <v>31</v>
          </cell>
          <cell r="H20">
            <v>0</v>
          </cell>
          <cell r="I20">
            <v>5</v>
          </cell>
          <cell r="J20">
            <v>2</v>
          </cell>
          <cell r="K20">
            <v>24</v>
          </cell>
          <cell r="L20"/>
        </row>
        <row r="21">
          <cell r="B21" t="str">
            <v>SQFMD-0519</v>
          </cell>
          <cell r="C21" t="str">
            <v>Mostavi Fahmid</v>
          </cell>
          <cell r="D21" t="str">
            <v>Assistant Manager (R&amp;D)</v>
          </cell>
          <cell r="E21" t="str">
            <v>Pesticide &amp; Fertilizer</v>
          </cell>
          <cell r="F21">
            <v>44593</v>
          </cell>
          <cell r="G21">
            <v>31</v>
          </cell>
          <cell r="H21">
            <v>0</v>
          </cell>
          <cell r="I21">
            <v>5</v>
          </cell>
          <cell r="J21">
            <v>2</v>
          </cell>
          <cell r="K21">
            <v>24</v>
          </cell>
          <cell r="L21"/>
        </row>
        <row r="22">
          <cell r="B22" t="str">
            <v>SQFMD-0523</v>
          </cell>
          <cell r="C22" t="str">
            <v>Md. Rois Uddin</v>
          </cell>
          <cell r="D22" t="str">
            <v>Mechanic</v>
          </cell>
          <cell r="E22" t="str">
            <v>Technical</v>
          </cell>
          <cell r="F22">
            <v>44602</v>
          </cell>
          <cell r="G22">
            <v>31</v>
          </cell>
          <cell r="H22">
            <v>2</v>
          </cell>
          <cell r="I22">
            <v>5</v>
          </cell>
          <cell r="J22">
            <v>2</v>
          </cell>
          <cell r="K22">
            <v>22</v>
          </cell>
          <cell r="L22"/>
        </row>
        <row r="23">
          <cell r="B23" t="str">
            <v>SQFMD-0525</v>
          </cell>
          <cell r="C23" t="str">
            <v>Md. Abdullah</v>
          </cell>
          <cell r="D23" t="str">
            <v>Sr. Service Engineer</v>
          </cell>
          <cell r="E23" t="str">
            <v>Technical</v>
          </cell>
          <cell r="F23">
            <v>44835</v>
          </cell>
          <cell r="G23">
            <v>31</v>
          </cell>
          <cell r="H23">
            <v>0</v>
          </cell>
          <cell r="I23">
            <v>5</v>
          </cell>
          <cell r="J23">
            <v>2</v>
          </cell>
          <cell r="K23">
            <v>24</v>
          </cell>
          <cell r="L23"/>
        </row>
        <row r="24">
          <cell r="B24" t="str">
            <v>SQFMD-0527</v>
          </cell>
          <cell r="C24" t="str">
            <v>Md. Nefaur Rahman</v>
          </cell>
          <cell r="D24" t="str">
            <v>Mechanic</v>
          </cell>
          <cell r="E24" t="str">
            <v>Technical</v>
          </cell>
          <cell r="F24">
            <v>44604</v>
          </cell>
          <cell r="G24">
            <v>31</v>
          </cell>
          <cell r="H24">
            <v>0</v>
          </cell>
          <cell r="I24">
            <v>5</v>
          </cell>
          <cell r="J24">
            <v>2</v>
          </cell>
          <cell r="K24">
            <v>24</v>
          </cell>
          <cell r="L24"/>
        </row>
        <row r="25">
          <cell r="B25" t="str">
            <v>SQFMD-0529</v>
          </cell>
          <cell r="C25" t="str">
            <v>Imran Hossain</v>
          </cell>
          <cell r="D25" t="str">
            <v>Territory Sales Officer (Stemz)</v>
          </cell>
          <cell r="E25" t="str">
            <v>S&amp;M</v>
          </cell>
          <cell r="F25">
            <v>44024</v>
          </cell>
          <cell r="G25">
            <v>31</v>
          </cell>
          <cell r="H25">
            <v>0</v>
          </cell>
          <cell r="I25">
            <v>5</v>
          </cell>
          <cell r="J25">
            <v>2</v>
          </cell>
          <cell r="K25">
            <v>24</v>
          </cell>
          <cell r="L25"/>
        </row>
        <row r="26">
          <cell r="B26" t="str">
            <v>SQFMD-0530</v>
          </cell>
          <cell r="C26" t="str">
            <v>Md. Lutfar Rahman</v>
          </cell>
          <cell r="D26" t="str">
            <v>Mechanic</v>
          </cell>
          <cell r="E26" t="str">
            <v>Technical</v>
          </cell>
          <cell r="F26">
            <v>44640</v>
          </cell>
          <cell r="G26">
            <v>31</v>
          </cell>
          <cell r="H26">
            <v>0</v>
          </cell>
          <cell r="I26">
            <v>5</v>
          </cell>
          <cell r="J26">
            <v>2</v>
          </cell>
          <cell r="K26">
            <v>24</v>
          </cell>
          <cell r="L26"/>
        </row>
        <row r="27">
          <cell r="B27" t="str">
            <v>SQFMD-0531</v>
          </cell>
          <cell r="C27" t="str">
            <v>Md. Ali Hossain</v>
          </cell>
          <cell r="D27" t="str">
            <v>Jr. Mechanic</v>
          </cell>
          <cell r="E27" t="str">
            <v>Technical</v>
          </cell>
          <cell r="F27">
            <v>45048</v>
          </cell>
          <cell r="G27">
            <v>31</v>
          </cell>
          <cell r="H27">
            <v>2</v>
          </cell>
          <cell r="I27">
            <v>5</v>
          </cell>
          <cell r="J27">
            <v>2</v>
          </cell>
          <cell r="K27">
            <v>22</v>
          </cell>
          <cell r="L27"/>
        </row>
        <row r="28">
          <cell r="B28" t="str">
            <v>SQFMD-0532</v>
          </cell>
          <cell r="C28" t="str">
            <v>Arman Hossen</v>
          </cell>
          <cell r="D28" t="str">
            <v>Jr. Mechanic</v>
          </cell>
          <cell r="E28" t="str">
            <v>Technical</v>
          </cell>
          <cell r="F28">
            <v>44600</v>
          </cell>
          <cell r="G28">
            <v>31</v>
          </cell>
          <cell r="H28">
            <v>0</v>
          </cell>
          <cell r="I28">
            <v>5</v>
          </cell>
          <cell r="J28">
            <v>2</v>
          </cell>
          <cell r="K28">
            <v>24</v>
          </cell>
          <cell r="L28"/>
        </row>
        <row r="29">
          <cell r="B29" t="str">
            <v>SQFMD-0533</v>
          </cell>
          <cell r="C29" t="str">
            <v>Md. Iqbal</v>
          </cell>
          <cell r="D29" t="str">
            <v>Jr.Mechanic</v>
          </cell>
          <cell r="E29" t="str">
            <v>Technical</v>
          </cell>
          <cell r="F29">
            <v>44601</v>
          </cell>
          <cell r="G29">
            <v>31</v>
          </cell>
          <cell r="H29">
            <v>1</v>
          </cell>
          <cell r="I29">
            <v>5</v>
          </cell>
          <cell r="J29">
            <v>2</v>
          </cell>
          <cell r="K29">
            <v>23</v>
          </cell>
          <cell r="L29"/>
        </row>
        <row r="30">
          <cell r="B30" t="str">
            <v>SQFMD-0535</v>
          </cell>
          <cell r="C30" t="str">
            <v>Md. Obaydur Rahaman</v>
          </cell>
          <cell r="D30" t="str">
            <v>Store Assistant</v>
          </cell>
          <cell r="E30" t="str">
            <v>Store &amp; Logistics</v>
          </cell>
          <cell r="F30">
            <v>44619</v>
          </cell>
          <cell r="G30">
            <v>31</v>
          </cell>
          <cell r="H30">
            <v>0</v>
          </cell>
          <cell r="I30">
            <v>5</v>
          </cell>
          <cell r="J30">
            <v>2</v>
          </cell>
          <cell r="K30">
            <v>24</v>
          </cell>
          <cell r="L30"/>
        </row>
        <row r="31">
          <cell r="B31" t="str">
            <v>SQFMD-0536</v>
          </cell>
          <cell r="C31" t="str">
            <v>Md. Asaduzzaman Mintu</v>
          </cell>
          <cell r="D31" t="str">
            <v>STSO</v>
          </cell>
          <cell r="E31" t="str">
            <v>S&amp;M</v>
          </cell>
          <cell r="F31">
            <v>44630</v>
          </cell>
          <cell r="G31">
            <v>31</v>
          </cell>
          <cell r="H31">
            <v>0</v>
          </cell>
          <cell r="I31">
            <v>5</v>
          </cell>
          <cell r="J31">
            <v>2</v>
          </cell>
          <cell r="K31">
            <v>24</v>
          </cell>
          <cell r="L31"/>
        </row>
        <row r="32">
          <cell r="B32" t="str">
            <v>SQFMD-0537</v>
          </cell>
          <cell r="C32" t="str">
            <v>Md. Salim Reza</v>
          </cell>
          <cell r="D32" t="str">
            <v>Territory Sales Officer</v>
          </cell>
          <cell r="E32" t="str">
            <v>S&amp;M</v>
          </cell>
          <cell r="F32">
            <v>44654</v>
          </cell>
          <cell r="G32">
            <v>31</v>
          </cell>
          <cell r="H32">
            <v>0</v>
          </cell>
          <cell r="I32">
            <v>5</v>
          </cell>
          <cell r="J32">
            <v>2</v>
          </cell>
          <cell r="K32">
            <v>24</v>
          </cell>
          <cell r="L32"/>
        </row>
        <row r="33">
          <cell r="B33" t="str">
            <v>SQFMD-0538</v>
          </cell>
          <cell r="C33" t="str">
            <v>Sumon Babu</v>
          </cell>
          <cell r="D33" t="str">
            <v>Territory Sales Officer</v>
          </cell>
          <cell r="E33" t="str">
            <v>S&amp;M</v>
          </cell>
          <cell r="F33">
            <v>44654</v>
          </cell>
          <cell r="G33">
            <v>31</v>
          </cell>
          <cell r="H33">
            <v>0</v>
          </cell>
          <cell r="I33">
            <v>5</v>
          </cell>
          <cell r="J33">
            <v>2</v>
          </cell>
          <cell r="K33">
            <v>24</v>
          </cell>
          <cell r="L33"/>
        </row>
        <row r="34">
          <cell r="B34" t="str">
            <v>SQFMD-0539</v>
          </cell>
          <cell r="C34" t="str">
            <v>Md. Hamidur Rahman</v>
          </cell>
          <cell r="D34" t="str">
            <v>Sr. Credit Recovery Officer</v>
          </cell>
          <cell r="E34" t="str">
            <v>CRRM</v>
          </cell>
          <cell r="F34">
            <v>44623</v>
          </cell>
          <cell r="G34">
            <v>31</v>
          </cell>
          <cell r="H34">
            <v>1</v>
          </cell>
          <cell r="I34">
            <v>5</v>
          </cell>
          <cell r="J34">
            <v>2</v>
          </cell>
          <cell r="K34">
            <v>23</v>
          </cell>
          <cell r="L34"/>
        </row>
        <row r="35">
          <cell r="B35" t="str">
            <v>SQFMD-0540</v>
          </cell>
          <cell r="C35" t="str">
            <v>Md. Shamsul Alam</v>
          </cell>
          <cell r="D35" t="str">
            <v>Assistant Territory Manager</v>
          </cell>
          <cell r="E35" t="str">
            <v>S&amp;M</v>
          </cell>
          <cell r="F35">
            <v>44625</v>
          </cell>
          <cell r="G35">
            <v>31</v>
          </cell>
          <cell r="H35">
            <v>0</v>
          </cell>
          <cell r="I35">
            <v>5</v>
          </cell>
          <cell r="J35">
            <v>2</v>
          </cell>
          <cell r="K35">
            <v>24</v>
          </cell>
          <cell r="L35"/>
        </row>
        <row r="36">
          <cell r="B36" t="str">
            <v>SQFMD-0541</v>
          </cell>
          <cell r="C36" t="str">
            <v>Syed Ali Azgar</v>
          </cell>
          <cell r="D36" t="str">
            <v>Assistant Territory Manager</v>
          </cell>
          <cell r="E36" t="str">
            <v>S&amp;M</v>
          </cell>
          <cell r="F36">
            <v>44626</v>
          </cell>
          <cell r="G36">
            <v>31</v>
          </cell>
          <cell r="H36">
            <v>0</v>
          </cell>
          <cell r="I36">
            <v>5</v>
          </cell>
          <cell r="J36">
            <v>2</v>
          </cell>
          <cell r="K36">
            <v>24</v>
          </cell>
          <cell r="L36"/>
        </row>
        <row r="37">
          <cell r="B37" t="str">
            <v>SQFMD-0542</v>
          </cell>
          <cell r="C37" t="str">
            <v>Md. Abdur Rob Mondal</v>
          </cell>
          <cell r="D37" t="str">
            <v>Store &amp; Accounts Officer</v>
          </cell>
          <cell r="E37" t="str">
            <v>Store &amp; Logistics</v>
          </cell>
          <cell r="F37">
            <v>44972</v>
          </cell>
          <cell r="G37">
            <v>31</v>
          </cell>
          <cell r="H37">
            <v>0</v>
          </cell>
          <cell r="I37">
            <v>5</v>
          </cell>
          <cell r="J37">
            <v>2</v>
          </cell>
          <cell r="K37">
            <v>24</v>
          </cell>
          <cell r="L37"/>
        </row>
        <row r="38">
          <cell r="B38" t="str">
            <v>SQFMD-0543</v>
          </cell>
          <cell r="C38" t="str">
            <v>Md. Mizanur Rahman</v>
          </cell>
          <cell r="D38" t="str">
            <v>Territory Manager</v>
          </cell>
          <cell r="E38" t="str">
            <v>S&amp;M</v>
          </cell>
          <cell r="F38">
            <v>44621</v>
          </cell>
          <cell r="G38">
            <v>31</v>
          </cell>
          <cell r="H38">
            <v>0</v>
          </cell>
          <cell r="I38">
            <v>5</v>
          </cell>
          <cell r="J38">
            <v>2</v>
          </cell>
          <cell r="K38">
            <v>24</v>
          </cell>
          <cell r="L38"/>
        </row>
        <row r="39">
          <cell r="B39" t="str">
            <v>SQFMD-0544</v>
          </cell>
          <cell r="C39" t="str">
            <v>Md. Nazmul Haque</v>
          </cell>
          <cell r="D39" t="str">
            <v>Sr. Territory Sales officer</v>
          </cell>
          <cell r="E39" t="str">
            <v>S&amp;M</v>
          </cell>
          <cell r="F39">
            <v>44625</v>
          </cell>
          <cell r="G39">
            <v>31</v>
          </cell>
          <cell r="H39">
            <v>0</v>
          </cell>
          <cell r="I39">
            <v>5</v>
          </cell>
          <cell r="J39">
            <v>2</v>
          </cell>
          <cell r="K39">
            <v>24</v>
          </cell>
          <cell r="L39"/>
        </row>
        <row r="40">
          <cell r="B40" t="str">
            <v>SQFMD-0547</v>
          </cell>
          <cell r="C40" t="str">
            <v>Md. Shakibul Hasan Sharif</v>
          </cell>
          <cell r="D40" t="str">
            <v>Territory Sales officer</v>
          </cell>
          <cell r="E40" t="str">
            <v>S&amp;M</v>
          </cell>
          <cell r="F40">
            <v>44635</v>
          </cell>
          <cell r="G40">
            <v>31</v>
          </cell>
          <cell r="H40">
            <v>0</v>
          </cell>
          <cell r="I40">
            <v>5</v>
          </cell>
          <cell r="J40">
            <v>2</v>
          </cell>
          <cell r="K40">
            <v>24</v>
          </cell>
          <cell r="L40"/>
        </row>
        <row r="41">
          <cell r="B41" t="str">
            <v>SQFMD-0548</v>
          </cell>
          <cell r="C41" t="str">
            <v>Md. Sabbir Ahmed</v>
          </cell>
          <cell r="D41" t="str">
            <v>Sr. Terrtory Manager</v>
          </cell>
          <cell r="E41" t="str">
            <v>S&amp;M</v>
          </cell>
          <cell r="F41">
            <v>44640</v>
          </cell>
          <cell r="G41">
            <v>31</v>
          </cell>
          <cell r="H41">
            <v>0</v>
          </cell>
          <cell r="I41">
            <v>5</v>
          </cell>
          <cell r="J41">
            <v>2</v>
          </cell>
          <cell r="K41">
            <v>24</v>
          </cell>
          <cell r="L41"/>
        </row>
        <row r="42">
          <cell r="B42" t="str">
            <v>SQFMD-0549</v>
          </cell>
          <cell r="C42" t="str">
            <v>Md. Manjurul Haque</v>
          </cell>
          <cell r="D42" t="str">
            <v>Territory Sales officer</v>
          </cell>
          <cell r="E42" t="str">
            <v>S&amp;M</v>
          </cell>
          <cell r="F42">
            <v>44635</v>
          </cell>
          <cell r="G42">
            <v>31</v>
          </cell>
          <cell r="H42">
            <v>0</v>
          </cell>
          <cell r="I42">
            <v>5</v>
          </cell>
          <cell r="J42">
            <v>2</v>
          </cell>
          <cell r="K42">
            <v>24</v>
          </cell>
          <cell r="L42"/>
        </row>
        <row r="43">
          <cell r="B43" t="str">
            <v>SQFMD-0551</v>
          </cell>
          <cell r="C43" t="str">
            <v>Shahadat Hossain</v>
          </cell>
          <cell r="D43" t="str">
            <v>Territory Sales officer</v>
          </cell>
          <cell r="E43" t="str">
            <v>S&amp;M</v>
          </cell>
          <cell r="F43">
            <v>44653</v>
          </cell>
          <cell r="G43">
            <v>31</v>
          </cell>
          <cell r="H43">
            <v>0</v>
          </cell>
          <cell r="I43">
            <v>5</v>
          </cell>
          <cell r="J43">
            <v>2</v>
          </cell>
          <cell r="K43">
            <v>24</v>
          </cell>
          <cell r="L43"/>
        </row>
        <row r="44">
          <cell r="B44" t="str">
            <v>SQFMD-0552</v>
          </cell>
          <cell r="C44" t="str">
            <v>Shafiul Kamal</v>
          </cell>
          <cell r="D44" t="str">
            <v>Assistant Regional Manager</v>
          </cell>
          <cell r="E44" t="str">
            <v>S&amp;M</v>
          </cell>
          <cell r="F44">
            <v>44641</v>
          </cell>
          <cell r="G44">
            <v>31</v>
          </cell>
          <cell r="H44">
            <v>0</v>
          </cell>
          <cell r="I44">
            <v>5</v>
          </cell>
          <cell r="J44">
            <v>2</v>
          </cell>
          <cell r="K44">
            <v>24</v>
          </cell>
          <cell r="L44"/>
        </row>
        <row r="45">
          <cell r="B45" t="str">
            <v>SQFMD-0553</v>
          </cell>
          <cell r="C45" t="str">
            <v>Mamun Chowdhury</v>
          </cell>
          <cell r="D45" t="str">
            <v>Territory Sales officer(Stemz)</v>
          </cell>
          <cell r="E45" t="str">
            <v>S&amp;M</v>
          </cell>
          <cell r="F45">
            <v>44625</v>
          </cell>
          <cell r="G45">
            <v>31</v>
          </cell>
          <cell r="H45">
            <v>0</v>
          </cell>
          <cell r="I45">
            <v>5</v>
          </cell>
          <cell r="J45">
            <v>2</v>
          </cell>
          <cell r="K45">
            <v>24</v>
          </cell>
          <cell r="L45"/>
        </row>
        <row r="46">
          <cell r="B46" t="str">
            <v>SQFMD-0561</v>
          </cell>
          <cell r="C46" t="str">
            <v>Rajha Ch. Datta</v>
          </cell>
          <cell r="D46" t="str">
            <v>Store Officer</v>
          </cell>
          <cell r="E46" t="str">
            <v>Store &amp; Logistics</v>
          </cell>
          <cell r="F46">
            <v>44634</v>
          </cell>
          <cell r="G46">
            <v>31</v>
          </cell>
          <cell r="H46">
            <v>0</v>
          </cell>
          <cell r="I46">
            <v>5</v>
          </cell>
          <cell r="J46">
            <v>2</v>
          </cell>
          <cell r="K46">
            <v>24</v>
          </cell>
          <cell r="L46"/>
        </row>
        <row r="47">
          <cell r="B47" t="str">
            <v>SQFMD-0562</v>
          </cell>
          <cell r="C47" t="str">
            <v>Md. Kaiser Ferdous</v>
          </cell>
          <cell r="D47" t="str">
            <v>Sr. Service Coordinator</v>
          </cell>
          <cell r="E47" t="str">
            <v>Technical</v>
          </cell>
          <cell r="F47">
            <v>44643</v>
          </cell>
          <cell r="G47">
            <v>31</v>
          </cell>
          <cell r="H47">
            <v>0</v>
          </cell>
          <cell r="I47">
            <v>5</v>
          </cell>
          <cell r="J47">
            <v>2</v>
          </cell>
          <cell r="K47">
            <v>24</v>
          </cell>
          <cell r="L47"/>
        </row>
        <row r="48">
          <cell r="B48" t="str">
            <v>SQFMD-0563</v>
          </cell>
          <cell r="C48" t="str">
            <v>Md. Raja Babu</v>
          </cell>
          <cell r="D48" t="str">
            <v>Mechanic</v>
          </cell>
          <cell r="E48" t="str">
            <v>Technical</v>
          </cell>
          <cell r="F48">
            <v>44640</v>
          </cell>
          <cell r="G48">
            <v>31</v>
          </cell>
          <cell r="H48">
            <v>0</v>
          </cell>
          <cell r="I48">
            <v>5</v>
          </cell>
          <cell r="J48">
            <v>2</v>
          </cell>
          <cell r="K48">
            <v>24</v>
          </cell>
          <cell r="L48"/>
        </row>
        <row r="49">
          <cell r="B49" t="str">
            <v>SQFMD-0564</v>
          </cell>
          <cell r="C49" t="str">
            <v>Md. Mehedi Hasan</v>
          </cell>
          <cell r="D49" t="str">
            <v>Office Assistant</v>
          </cell>
          <cell r="E49" t="str">
            <v>Admin</v>
          </cell>
          <cell r="F49">
            <v>44634</v>
          </cell>
          <cell r="G49">
            <v>31</v>
          </cell>
          <cell r="H49">
            <v>0</v>
          </cell>
          <cell r="I49">
            <v>5</v>
          </cell>
          <cell r="J49">
            <v>2</v>
          </cell>
          <cell r="K49">
            <v>24</v>
          </cell>
          <cell r="L49"/>
        </row>
        <row r="50">
          <cell r="B50" t="str">
            <v>SQFMD-0565</v>
          </cell>
          <cell r="C50" t="str">
            <v>Md. Robiul Alam Rahin</v>
          </cell>
          <cell r="D50" t="str">
            <v>Office Assistant</v>
          </cell>
          <cell r="E50" t="str">
            <v>Admin</v>
          </cell>
          <cell r="F50">
            <v>44593</v>
          </cell>
          <cell r="G50">
            <v>31</v>
          </cell>
          <cell r="H50">
            <v>0</v>
          </cell>
          <cell r="I50">
            <v>5</v>
          </cell>
          <cell r="J50">
            <v>2</v>
          </cell>
          <cell r="K50">
            <v>24</v>
          </cell>
          <cell r="L50"/>
        </row>
        <row r="51">
          <cell r="B51" t="str">
            <v>SQFMD-0566</v>
          </cell>
          <cell r="C51" t="str">
            <v>Md. Ramjan Ali</v>
          </cell>
          <cell r="D51" t="str">
            <v>Driver</v>
          </cell>
          <cell r="E51" t="str">
            <v>Transport</v>
          </cell>
          <cell r="F51">
            <v>44571</v>
          </cell>
          <cell r="G51">
            <v>31</v>
          </cell>
          <cell r="H51">
            <v>0</v>
          </cell>
          <cell r="I51">
            <v>5</v>
          </cell>
          <cell r="J51">
            <v>2</v>
          </cell>
          <cell r="K51">
            <v>24</v>
          </cell>
          <cell r="L51"/>
        </row>
        <row r="52">
          <cell r="B52" t="str">
            <v>SQFMD-0567</v>
          </cell>
          <cell r="C52" t="str">
            <v>Md. Shahjahan Ali</v>
          </cell>
          <cell r="D52" t="str">
            <v>Driver</v>
          </cell>
          <cell r="E52" t="str">
            <v>Transport</v>
          </cell>
          <cell r="F52">
            <v>44583</v>
          </cell>
          <cell r="G52">
            <v>31</v>
          </cell>
          <cell r="H52">
            <v>0</v>
          </cell>
          <cell r="I52">
            <v>5</v>
          </cell>
          <cell r="J52">
            <v>2</v>
          </cell>
          <cell r="K52">
            <v>24</v>
          </cell>
          <cell r="L52"/>
        </row>
        <row r="53">
          <cell r="B53" t="str">
            <v>SQFMD-0570</v>
          </cell>
          <cell r="C53" t="str">
            <v>Md. Shiful Islam</v>
          </cell>
          <cell r="D53" t="str">
            <v>Asst. Territory Manager</v>
          </cell>
          <cell r="E53" t="str">
            <v>Pesticide &amp; Fertilizer</v>
          </cell>
          <cell r="F53">
            <v>44667</v>
          </cell>
          <cell r="G53">
            <v>31</v>
          </cell>
          <cell r="H53">
            <v>0</v>
          </cell>
          <cell r="I53">
            <v>5</v>
          </cell>
          <cell r="J53">
            <v>2</v>
          </cell>
          <cell r="K53">
            <v>24</v>
          </cell>
          <cell r="L53"/>
        </row>
        <row r="54">
          <cell r="B54" t="str">
            <v>SQFMD-0571</v>
          </cell>
          <cell r="C54" t="str">
            <v>Nazmul Alam</v>
          </cell>
          <cell r="D54" t="str">
            <v>Assistant Regional Manager</v>
          </cell>
          <cell r="E54" t="str">
            <v>S&amp;M</v>
          </cell>
          <cell r="F54">
            <v>44674</v>
          </cell>
          <cell r="G54">
            <v>31</v>
          </cell>
          <cell r="H54">
            <v>0</v>
          </cell>
          <cell r="I54">
            <v>5</v>
          </cell>
          <cell r="J54">
            <v>2</v>
          </cell>
          <cell r="K54">
            <v>24</v>
          </cell>
          <cell r="L54"/>
        </row>
        <row r="55">
          <cell r="B55" t="str">
            <v>SQFMD-0572</v>
          </cell>
          <cell r="C55" t="str">
            <v>Nurun Nahar Nipa</v>
          </cell>
          <cell r="D55" t="str">
            <v>Executive (F&amp;A)</v>
          </cell>
          <cell r="E55" t="str">
            <v>Finance &amp; Accounts</v>
          </cell>
          <cell r="F55">
            <v>44604</v>
          </cell>
          <cell r="G55">
            <v>31</v>
          </cell>
          <cell r="H55">
            <v>0</v>
          </cell>
          <cell r="I55">
            <v>5</v>
          </cell>
          <cell r="J55">
            <v>2</v>
          </cell>
          <cell r="K55">
            <v>24</v>
          </cell>
          <cell r="L55"/>
        </row>
        <row r="56">
          <cell r="B56" t="str">
            <v>SQFMD-0573</v>
          </cell>
          <cell r="C56" t="str">
            <v>Sujal Chandra Mahanta</v>
          </cell>
          <cell r="D56" t="str">
            <v>Store Officer</v>
          </cell>
          <cell r="E56" t="str">
            <v>Store &amp; Logistics</v>
          </cell>
          <cell r="F56">
            <v>44674</v>
          </cell>
          <cell r="G56">
            <v>31</v>
          </cell>
          <cell r="H56">
            <v>0</v>
          </cell>
          <cell r="I56">
            <v>5</v>
          </cell>
          <cell r="J56">
            <v>2</v>
          </cell>
          <cell r="K56">
            <v>24</v>
          </cell>
          <cell r="L56"/>
        </row>
        <row r="57">
          <cell r="B57" t="str">
            <v>SQFMD-0574</v>
          </cell>
          <cell r="C57" t="str">
            <v>Md. Sabbir Hossen</v>
          </cell>
          <cell r="D57" t="str">
            <v>Store Officer</v>
          </cell>
          <cell r="E57" t="str">
            <v>Store &amp; Logistics</v>
          </cell>
          <cell r="F57">
            <v>44650</v>
          </cell>
          <cell r="G57">
            <v>31</v>
          </cell>
          <cell r="H57">
            <v>0</v>
          </cell>
          <cell r="I57">
            <v>5</v>
          </cell>
          <cell r="J57">
            <v>2</v>
          </cell>
          <cell r="K57">
            <v>24</v>
          </cell>
          <cell r="L57"/>
        </row>
        <row r="58">
          <cell r="B58" t="str">
            <v>SQFMD-0576</v>
          </cell>
          <cell r="C58" t="str">
            <v>Md. Jamal Hossain</v>
          </cell>
          <cell r="D58" t="str">
            <v>Store Officer</v>
          </cell>
          <cell r="E58" t="str">
            <v>Store &amp; Logistics</v>
          </cell>
          <cell r="F58">
            <v>44653</v>
          </cell>
          <cell r="G58">
            <v>31</v>
          </cell>
          <cell r="H58">
            <v>0</v>
          </cell>
          <cell r="I58">
            <v>5</v>
          </cell>
          <cell r="J58">
            <v>2</v>
          </cell>
          <cell r="K58">
            <v>24</v>
          </cell>
          <cell r="L58"/>
        </row>
        <row r="59">
          <cell r="B59" t="str">
            <v>SQFMD-0577</v>
          </cell>
          <cell r="C59" t="str">
            <v>Md. Rashedul Islam</v>
          </cell>
          <cell r="D59" t="str">
            <v>Sr. Store Officer</v>
          </cell>
          <cell r="E59" t="str">
            <v>Store &amp; Logistics</v>
          </cell>
          <cell r="F59">
            <v>44661</v>
          </cell>
          <cell r="G59">
            <v>31</v>
          </cell>
          <cell r="H59">
            <v>0</v>
          </cell>
          <cell r="I59">
            <v>5</v>
          </cell>
          <cell r="J59">
            <v>2</v>
          </cell>
          <cell r="K59">
            <v>24</v>
          </cell>
          <cell r="L59"/>
        </row>
        <row r="60">
          <cell r="B60" t="str">
            <v>SQFMD-0578</v>
          </cell>
          <cell r="C60" t="str">
            <v>Sohidullah</v>
          </cell>
          <cell r="D60" t="str">
            <v>Sr. Manager</v>
          </cell>
          <cell r="E60" t="str">
            <v>Technical</v>
          </cell>
          <cell r="F60">
            <v>44665</v>
          </cell>
          <cell r="G60">
            <v>31</v>
          </cell>
          <cell r="H60">
            <v>0</v>
          </cell>
          <cell r="I60">
            <v>5</v>
          </cell>
          <cell r="J60">
            <v>2</v>
          </cell>
          <cell r="K60">
            <v>24</v>
          </cell>
          <cell r="L60"/>
        </row>
        <row r="61">
          <cell r="B61" t="str">
            <v>SQFMD-0581</v>
          </cell>
          <cell r="C61" t="str">
            <v>Md. Bellal Hossain</v>
          </cell>
          <cell r="D61" t="str">
            <v>Mechanic</v>
          </cell>
          <cell r="E61" t="str">
            <v>Technical</v>
          </cell>
          <cell r="F61">
            <v>44650</v>
          </cell>
          <cell r="G61">
            <v>31</v>
          </cell>
          <cell r="H61">
            <v>0</v>
          </cell>
          <cell r="I61">
            <v>5</v>
          </cell>
          <cell r="J61">
            <v>2</v>
          </cell>
          <cell r="K61">
            <v>24</v>
          </cell>
          <cell r="L61"/>
        </row>
        <row r="62">
          <cell r="B62" t="str">
            <v>SQFMD-0582</v>
          </cell>
          <cell r="C62" t="str">
            <v>Md. Bahdur Shah Munjur</v>
          </cell>
          <cell r="D62" t="str">
            <v>Mechanic</v>
          </cell>
          <cell r="E62" t="str">
            <v>Technical</v>
          </cell>
          <cell r="F62">
            <v>44650</v>
          </cell>
          <cell r="G62">
            <v>31</v>
          </cell>
          <cell r="H62">
            <v>7</v>
          </cell>
          <cell r="I62">
            <v>5</v>
          </cell>
          <cell r="J62">
            <v>2</v>
          </cell>
          <cell r="K62">
            <v>17</v>
          </cell>
          <cell r="L62"/>
        </row>
        <row r="63">
          <cell r="B63" t="str">
            <v>SQFMD-0583</v>
          </cell>
          <cell r="C63" t="str">
            <v>Md. Rayhan Ali</v>
          </cell>
          <cell r="D63" t="str">
            <v>Jr. Mechanic</v>
          </cell>
          <cell r="E63" t="str">
            <v>Technical</v>
          </cell>
          <cell r="F63">
            <v>44656</v>
          </cell>
          <cell r="G63">
            <v>31</v>
          </cell>
          <cell r="H63">
            <v>0</v>
          </cell>
          <cell r="I63">
            <v>5</v>
          </cell>
          <cell r="J63">
            <v>2</v>
          </cell>
          <cell r="K63">
            <v>24</v>
          </cell>
          <cell r="L63"/>
        </row>
        <row r="64">
          <cell r="B64" t="str">
            <v>SQFMD-0584</v>
          </cell>
          <cell r="C64" t="str">
            <v>Md. Ismail Hossain</v>
          </cell>
          <cell r="D64" t="str">
            <v>Jr. Mechanic</v>
          </cell>
          <cell r="E64" t="str">
            <v>Technical</v>
          </cell>
          <cell r="F64">
            <v>44655</v>
          </cell>
          <cell r="G64">
            <v>31</v>
          </cell>
          <cell r="H64">
            <v>0</v>
          </cell>
          <cell r="I64">
            <v>5</v>
          </cell>
          <cell r="J64">
            <v>2</v>
          </cell>
          <cell r="K64">
            <v>24</v>
          </cell>
          <cell r="L64"/>
        </row>
        <row r="65">
          <cell r="B65" t="str">
            <v>SQFMD-0586</v>
          </cell>
          <cell r="C65" t="str">
            <v>Md. Imran Hosen</v>
          </cell>
          <cell r="D65" t="str">
            <v>Jr. Mechanic</v>
          </cell>
          <cell r="E65" t="str">
            <v>Technical</v>
          </cell>
          <cell r="F65">
            <v>44655</v>
          </cell>
          <cell r="G65">
            <v>31</v>
          </cell>
          <cell r="H65">
            <v>0</v>
          </cell>
          <cell r="I65">
            <v>5</v>
          </cell>
          <cell r="J65">
            <v>2</v>
          </cell>
          <cell r="K65">
            <v>24</v>
          </cell>
          <cell r="L65"/>
        </row>
        <row r="66">
          <cell r="B66" t="str">
            <v>SQFMD-0588</v>
          </cell>
          <cell r="C66" t="str">
            <v>Md. Yeasin Ali</v>
          </cell>
          <cell r="D66" t="str">
            <v>Jr. Mechanic</v>
          </cell>
          <cell r="E66" t="str">
            <v>Technical</v>
          </cell>
          <cell r="F66">
            <v>44655</v>
          </cell>
          <cell r="G66">
            <v>31</v>
          </cell>
          <cell r="H66">
            <v>0</v>
          </cell>
          <cell r="I66">
            <v>5</v>
          </cell>
          <cell r="J66">
            <v>2</v>
          </cell>
          <cell r="K66">
            <v>24</v>
          </cell>
          <cell r="L66"/>
        </row>
        <row r="67">
          <cell r="B67" t="str">
            <v>SQFMD-0591</v>
          </cell>
          <cell r="C67" t="str">
            <v>Aklas Ahmed</v>
          </cell>
          <cell r="D67" t="str">
            <v>Mechanic</v>
          </cell>
          <cell r="E67" t="str">
            <v>Technical</v>
          </cell>
          <cell r="F67">
            <v>44658</v>
          </cell>
          <cell r="G67">
            <v>31</v>
          </cell>
          <cell r="H67">
            <v>0</v>
          </cell>
          <cell r="I67">
            <v>5</v>
          </cell>
          <cell r="J67">
            <v>2</v>
          </cell>
          <cell r="K67">
            <v>24</v>
          </cell>
          <cell r="L67"/>
        </row>
        <row r="68">
          <cell r="B68" t="str">
            <v>SQFMD-0596</v>
          </cell>
          <cell r="C68" t="str">
            <v>Sohel Rana</v>
          </cell>
          <cell r="D68" t="str">
            <v>Office Assistant</v>
          </cell>
          <cell r="E68" t="str">
            <v>Admin</v>
          </cell>
          <cell r="F68">
            <v>44593</v>
          </cell>
          <cell r="G68">
            <v>31</v>
          </cell>
          <cell r="H68">
            <v>0</v>
          </cell>
          <cell r="I68">
            <v>5</v>
          </cell>
          <cell r="J68">
            <v>2</v>
          </cell>
          <cell r="K68">
            <v>24</v>
          </cell>
          <cell r="L68"/>
        </row>
        <row r="69">
          <cell r="B69" t="str">
            <v>SQFMD-0597</v>
          </cell>
          <cell r="C69" t="str">
            <v>Md. Jahangir Kabir</v>
          </cell>
          <cell r="D69" t="str">
            <v>Assistant General Manager</v>
          </cell>
          <cell r="E69" t="str">
            <v>CRRM</v>
          </cell>
          <cell r="F69">
            <v>44652</v>
          </cell>
          <cell r="G69">
            <v>31</v>
          </cell>
          <cell r="H69">
            <v>0</v>
          </cell>
          <cell r="I69">
            <v>5</v>
          </cell>
          <cell r="J69">
            <v>2</v>
          </cell>
          <cell r="K69">
            <v>24</v>
          </cell>
          <cell r="L69"/>
        </row>
        <row r="70">
          <cell r="B70" t="str">
            <v>SQFMD-0599</v>
          </cell>
          <cell r="C70" t="str">
            <v>Md. Jahidul Islam</v>
          </cell>
          <cell r="D70" t="str">
            <v>Driver</v>
          </cell>
          <cell r="E70" t="str">
            <v>Transport</v>
          </cell>
          <cell r="F70">
            <v>44667</v>
          </cell>
          <cell r="G70">
            <v>31</v>
          </cell>
          <cell r="H70">
            <v>0</v>
          </cell>
          <cell r="I70">
            <v>5</v>
          </cell>
          <cell r="J70">
            <v>2</v>
          </cell>
          <cell r="K70">
            <v>24</v>
          </cell>
          <cell r="L70"/>
        </row>
        <row r="71">
          <cell r="B71" t="str">
            <v>SQFMD-0600</v>
          </cell>
          <cell r="C71" t="str">
            <v>Md. Hafizur Rahman</v>
          </cell>
          <cell r="D71" t="str">
            <v>Driver</v>
          </cell>
          <cell r="E71" t="str">
            <v>Transport</v>
          </cell>
          <cell r="F71">
            <v>44663</v>
          </cell>
          <cell r="G71">
            <v>31</v>
          </cell>
          <cell r="H71">
            <v>0</v>
          </cell>
          <cell r="I71">
            <v>5</v>
          </cell>
          <cell r="J71">
            <v>2</v>
          </cell>
          <cell r="K71">
            <v>24</v>
          </cell>
          <cell r="L71"/>
        </row>
        <row r="72">
          <cell r="B72" t="str">
            <v>SQFMD-0601</v>
          </cell>
          <cell r="C72" t="str">
            <v>Md. Saiful Islam</v>
          </cell>
          <cell r="D72" t="str">
            <v>Accountant</v>
          </cell>
          <cell r="E72" t="str">
            <v>Finance &amp; Accounts</v>
          </cell>
          <cell r="F72">
            <v>44661</v>
          </cell>
          <cell r="G72">
            <v>31</v>
          </cell>
          <cell r="H72">
            <v>0</v>
          </cell>
          <cell r="I72">
            <v>5</v>
          </cell>
          <cell r="J72">
            <v>2</v>
          </cell>
          <cell r="K72">
            <v>24</v>
          </cell>
          <cell r="L72"/>
        </row>
        <row r="73">
          <cell r="B73" t="str">
            <v>SQFMD-0602</v>
          </cell>
          <cell r="C73" t="str">
            <v>Md. Rakib Uddin</v>
          </cell>
          <cell r="D73" t="str">
            <v>Mechanic</v>
          </cell>
          <cell r="E73" t="str">
            <v>Technical</v>
          </cell>
          <cell r="F73">
            <v>44669</v>
          </cell>
          <cell r="G73">
            <v>31</v>
          </cell>
          <cell r="H73">
            <v>2</v>
          </cell>
          <cell r="I73">
            <v>5</v>
          </cell>
          <cell r="J73">
            <v>2</v>
          </cell>
          <cell r="K73">
            <v>22</v>
          </cell>
          <cell r="L73"/>
        </row>
        <row r="74">
          <cell r="B74" t="str">
            <v>SQFMD-0604</v>
          </cell>
          <cell r="C74" t="str">
            <v>Md. Sabbir Hossen Ripon</v>
          </cell>
          <cell r="D74" t="str">
            <v>Jr. Mechanic</v>
          </cell>
          <cell r="E74" t="str">
            <v>Technical</v>
          </cell>
          <cell r="F74">
            <v>44673</v>
          </cell>
          <cell r="G74">
            <v>31</v>
          </cell>
          <cell r="H74">
            <v>0</v>
          </cell>
          <cell r="I74">
            <v>5</v>
          </cell>
          <cell r="J74">
            <v>2</v>
          </cell>
          <cell r="K74">
            <v>24</v>
          </cell>
          <cell r="L74"/>
        </row>
        <row r="75">
          <cell r="B75" t="str">
            <v>SQFMD-0606</v>
          </cell>
          <cell r="C75" t="str">
            <v>Md. Sahalom</v>
          </cell>
          <cell r="D75" t="str">
            <v>Office Assistant</v>
          </cell>
          <cell r="E75" t="str">
            <v>Admin</v>
          </cell>
          <cell r="F75">
            <v>44675</v>
          </cell>
          <cell r="G75">
            <v>31</v>
          </cell>
          <cell r="H75">
            <v>0</v>
          </cell>
          <cell r="I75">
            <v>5</v>
          </cell>
          <cell r="J75">
            <v>2</v>
          </cell>
          <cell r="K75">
            <v>24</v>
          </cell>
          <cell r="L75"/>
        </row>
        <row r="76">
          <cell r="B76" t="str">
            <v>SQFMD-0607</v>
          </cell>
          <cell r="C76" t="str">
            <v>Nasiruddin Sohel</v>
          </cell>
          <cell r="D76" t="str">
            <v>Deputy Regional Manager</v>
          </cell>
          <cell r="E76" t="str">
            <v>S&amp;M</v>
          </cell>
          <cell r="F76">
            <v>44692</v>
          </cell>
          <cell r="G76">
            <v>31</v>
          </cell>
          <cell r="H76">
            <v>0</v>
          </cell>
          <cell r="I76">
            <v>5</v>
          </cell>
          <cell r="J76">
            <v>2</v>
          </cell>
          <cell r="K76">
            <v>24</v>
          </cell>
          <cell r="L76"/>
        </row>
        <row r="77">
          <cell r="B77" t="str">
            <v>SQFMD-0608</v>
          </cell>
          <cell r="C77" t="str">
            <v>Mohammad Ali Mollah</v>
          </cell>
          <cell r="D77" t="str">
            <v>Sr. Service Engineer</v>
          </cell>
          <cell r="E77" t="str">
            <v>Technical</v>
          </cell>
          <cell r="F77">
            <v>44695</v>
          </cell>
          <cell r="G77">
            <v>31</v>
          </cell>
          <cell r="H77">
            <v>3</v>
          </cell>
          <cell r="I77">
            <v>5</v>
          </cell>
          <cell r="J77">
            <v>2</v>
          </cell>
          <cell r="K77">
            <v>21</v>
          </cell>
          <cell r="L77"/>
        </row>
        <row r="78">
          <cell r="B78" t="str">
            <v>SQFMD-0609</v>
          </cell>
          <cell r="C78" t="str">
            <v>Apon Chondro Roy</v>
          </cell>
          <cell r="D78" t="str">
            <v>Mechanic</v>
          </cell>
          <cell r="E78" t="str">
            <v>Technical</v>
          </cell>
          <cell r="F78">
            <v>44691</v>
          </cell>
          <cell r="G78">
            <v>31</v>
          </cell>
          <cell r="H78">
            <v>0</v>
          </cell>
          <cell r="I78">
            <v>5</v>
          </cell>
          <cell r="J78">
            <v>2</v>
          </cell>
          <cell r="K78">
            <v>24</v>
          </cell>
          <cell r="L78"/>
        </row>
        <row r="79">
          <cell r="B79" t="str">
            <v>SQFMD-0612</v>
          </cell>
          <cell r="C79" t="str">
            <v>Md. Motiur Rahman</v>
          </cell>
          <cell r="D79" t="str">
            <v>Mechanic</v>
          </cell>
          <cell r="E79" t="str">
            <v>Technical</v>
          </cell>
          <cell r="F79">
            <v>44696</v>
          </cell>
          <cell r="G79">
            <v>31</v>
          </cell>
          <cell r="H79">
            <v>0</v>
          </cell>
          <cell r="I79">
            <v>5</v>
          </cell>
          <cell r="J79">
            <v>2</v>
          </cell>
          <cell r="K79">
            <v>24</v>
          </cell>
          <cell r="L79"/>
        </row>
        <row r="80">
          <cell r="B80" t="str">
            <v>SQFMD-0613</v>
          </cell>
          <cell r="C80" t="str">
            <v>Abdul Wadud</v>
          </cell>
          <cell r="D80" t="str">
            <v>Asst. Mechanic</v>
          </cell>
          <cell r="E80" t="str">
            <v>Technical</v>
          </cell>
          <cell r="F80">
            <v>44700</v>
          </cell>
          <cell r="G80">
            <v>31</v>
          </cell>
          <cell r="H80">
            <v>0</v>
          </cell>
          <cell r="I80">
            <v>5</v>
          </cell>
          <cell r="J80">
            <v>2</v>
          </cell>
          <cell r="K80">
            <v>24</v>
          </cell>
          <cell r="L80"/>
        </row>
        <row r="81">
          <cell r="B81" t="str">
            <v>SQFMD-0614</v>
          </cell>
          <cell r="C81" t="str">
            <v>Shamim Akter Akash</v>
          </cell>
          <cell r="D81" t="str">
            <v>Mechanic</v>
          </cell>
          <cell r="E81" t="str">
            <v>Technical</v>
          </cell>
          <cell r="F81">
            <v>44687</v>
          </cell>
          <cell r="G81">
            <v>31</v>
          </cell>
          <cell r="H81">
            <v>0</v>
          </cell>
          <cell r="I81">
            <v>5</v>
          </cell>
          <cell r="J81">
            <v>2</v>
          </cell>
          <cell r="K81">
            <v>24</v>
          </cell>
          <cell r="L81"/>
        </row>
        <row r="82">
          <cell r="B82" t="str">
            <v>SQFMD-0615</v>
          </cell>
          <cell r="C82" t="str">
            <v>Md. Atoar Rahman</v>
          </cell>
          <cell r="D82" t="str">
            <v>DRM (Sales &amp; Recovery)</v>
          </cell>
          <cell r="E82" t="str">
            <v>CRRM</v>
          </cell>
          <cell r="F82">
            <v>44714</v>
          </cell>
          <cell r="G82">
            <v>31</v>
          </cell>
          <cell r="H82">
            <v>0</v>
          </cell>
          <cell r="I82">
            <v>5</v>
          </cell>
          <cell r="J82">
            <v>2</v>
          </cell>
          <cell r="K82">
            <v>24</v>
          </cell>
          <cell r="L82"/>
        </row>
        <row r="83">
          <cell r="B83" t="str">
            <v>SQFMD-0616</v>
          </cell>
          <cell r="C83" t="str">
            <v>Md. Abdullah Al Atick</v>
          </cell>
          <cell r="D83" t="str">
            <v>Deputy Regional Manager</v>
          </cell>
          <cell r="E83" t="str">
            <v>CRRM</v>
          </cell>
          <cell r="F83">
            <v>44716</v>
          </cell>
          <cell r="G83">
            <v>31</v>
          </cell>
          <cell r="H83">
            <v>1</v>
          </cell>
          <cell r="I83">
            <v>5</v>
          </cell>
          <cell r="J83">
            <v>2</v>
          </cell>
          <cell r="K83">
            <v>23</v>
          </cell>
          <cell r="L83"/>
        </row>
        <row r="84">
          <cell r="B84" t="str">
            <v>SQFMD-0617</v>
          </cell>
          <cell r="C84" t="str">
            <v>Md. Abdullah Al Mamun</v>
          </cell>
          <cell r="D84" t="str">
            <v>Assistant Manager</v>
          </cell>
          <cell r="E84" t="str">
            <v>Finance &amp; Accounts</v>
          </cell>
          <cell r="F84">
            <v>44713</v>
          </cell>
          <cell r="G84">
            <v>31</v>
          </cell>
          <cell r="H84">
            <v>0</v>
          </cell>
          <cell r="I84">
            <v>5</v>
          </cell>
          <cell r="J84">
            <v>2</v>
          </cell>
          <cell r="K84">
            <v>24</v>
          </cell>
          <cell r="L84"/>
        </row>
        <row r="85">
          <cell r="B85" t="str">
            <v>SQFMD-0618</v>
          </cell>
          <cell r="C85" t="str">
            <v>Md. Aslam Hossain</v>
          </cell>
          <cell r="D85" t="str">
            <v>Mechanic</v>
          </cell>
          <cell r="E85" t="str">
            <v>Technical</v>
          </cell>
          <cell r="F85">
            <v>44696</v>
          </cell>
          <cell r="G85">
            <v>31</v>
          </cell>
          <cell r="H85">
            <v>0</v>
          </cell>
          <cell r="I85">
            <v>5</v>
          </cell>
          <cell r="J85">
            <v>2</v>
          </cell>
          <cell r="K85">
            <v>24</v>
          </cell>
          <cell r="L85"/>
        </row>
        <row r="86">
          <cell r="B86" t="str">
            <v>SQFMD-0620</v>
          </cell>
          <cell r="C86" t="str">
            <v>Farhin Tajrin</v>
          </cell>
          <cell r="D86" t="str">
            <v>Management Trainee</v>
          </cell>
          <cell r="E86" t="str">
            <v>Audit &amp; Monitoring</v>
          </cell>
          <cell r="F86">
            <v>44713</v>
          </cell>
          <cell r="G86">
            <v>31</v>
          </cell>
          <cell r="H86">
            <v>0</v>
          </cell>
          <cell r="I86">
            <v>5</v>
          </cell>
          <cell r="J86">
            <v>2</v>
          </cell>
          <cell r="K86">
            <v>24</v>
          </cell>
          <cell r="L86"/>
        </row>
        <row r="87">
          <cell r="B87" t="str">
            <v>SQFMD-0621</v>
          </cell>
          <cell r="C87" t="str">
            <v>Md. Mannan Miah</v>
          </cell>
          <cell r="D87" t="str">
            <v>Mechanic</v>
          </cell>
          <cell r="E87" t="str">
            <v>Technical</v>
          </cell>
          <cell r="F87">
            <v>44694</v>
          </cell>
          <cell r="G87">
            <v>31</v>
          </cell>
          <cell r="H87">
            <v>0</v>
          </cell>
          <cell r="I87">
            <v>5</v>
          </cell>
          <cell r="J87">
            <v>2</v>
          </cell>
          <cell r="K87">
            <v>24</v>
          </cell>
          <cell r="L87"/>
        </row>
        <row r="88">
          <cell r="B88" t="str">
            <v>SQFMD-0623</v>
          </cell>
          <cell r="C88" t="str">
            <v>Md. Shamim Mia</v>
          </cell>
          <cell r="D88" t="str">
            <v>Jr. Mechanic</v>
          </cell>
          <cell r="E88" t="str">
            <v>Technical</v>
          </cell>
          <cell r="F88">
            <v>44692</v>
          </cell>
          <cell r="G88">
            <v>31</v>
          </cell>
          <cell r="H88">
            <v>7</v>
          </cell>
          <cell r="I88">
            <v>5</v>
          </cell>
          <cell r="J88">
            <v>2</v>
          </cell>
          <cell r="K88">
            <v>17</v>
          </cell>
          <cell r="L88"/>
        </row>
        <row r="89">
          <cell r="B89" t="str">
            <v>SQFMD-0624</v>
          </cell>
          <cell r="C89" t="str">
            <v>Md. Robiullah</v>
          </cell>
          <cell r="D89" t="str">
            <v>Store Worker</v>
          </cell>
          <cell r="E89" t="str">
            <v>Store &amp; Logistics</v>
          </cell>
          <cell r="F89">
            <v>44698</v>
          </cell>
          <cell r="G89">
            <v>31</v>
          </cell>
          <cell r="H89">
            <v>1</v>
          </cell>
          <cell r="I89">
            <v>5</v>
          </cell>
          <cell r="J89">
            <v>2</v>
          </cell>
          <cell r="K89">
            <v>23</v>
          </cell>
          <cell r="L89"/>
        </row>
        <row r="90">
          <cell r="B90" t="str">
            <v>SQFMD-0626</v>
          </cell>
          <cell r="C90" t="str">
            <v>Samiul Hassan</v>
          </cell>
          <cell r="D90" t="str">
            <v>Asst. Manager</v>
          </cell>
          <cell r="E90" t="str">
            <v>Store &amp; Logistics</v>
          </cell>
          <cell r="F90">
            <v>44714</v>
          </cell>
          <cell r="G90">
            <v>31</v>
          </cell>
          <cell r="H90">
            <v>2</v>
          </cell>
          <cell r="I90">
            <v>5</v>
          </cell>
          <cell r="J90">
            <v>2</v>
          </cell>
          <cell r="K90">
            <v>22</v>
          </cell>
          <cell r="L90"/>
        </row>
        <row r="91">
          <cell r="B91" t="str">
            <v>SQFMD-0628</v>
          </cell>
          <cell r="C91" t="str">
            <v>Md. Shaon Ali</v>
          </cell>
          <cell r="D91" t="str">
            <v>Jr. Mechanic</v>
          </cell>
          <cell r="E91" t="str">
            <v>Technical</v>
          </cell>
          <cell r="F91">
            <v>44713</v>
          </cell>
          <cell r="G91">
            <v>31</v>
          </cell>
          <cell r="H91">
            <v>0</v>
          </cell>
          <cell r="I91">
            <v>5</v>
          </cell>
          <cell r="J91">
            <v>2</v>
          </cell>
          <cell r="K91">
            <v>24</v>
          </cell>
          <cell r="L91"/>
        </row>
        <row r="92">
          <cell r="B92" t="str">
            <v>SQFMD-0629</v>
          </cell>
          <cell r="C92" t="str">
            <v>Md. Insan Ali</v>
          </cell>
          <cell r="D92" t="str">
            <v>Jr. Mechanic</v>
          </cell>
          <cell r="E92" t="str">
            <v>Technical</v>
          </cell>
          <cell r="F92">
            <v>44713</v>
          </cell>
          <cell r="G92">
            <v>31</v>
          </cell>
          <cell r="H92">
            <v>0</v>
          </cell>
          <cell r="I92">
            <v>5</v>
          </cell>
          <cell r="J92">
            <v>2</v>
          </cell>
          <cell r="K92">
            <v>24</v>
          </cell>
          <cell r="L92"/>
        </row>
        <row r="93">
          <cell r="B93" t="str">
            <v>SQFMD-0631</v>
          </cell>
          <cell r="C93" t="str">
            <v>Md. Aktar Hossen</v>
          </cell>
          <cell r="D93" t="str">
            <v>Depot Manager</v>
          </cell>
          <cell r="E93" t="str">
            <v>Pesticide &amp; Fertilizer</v>
          </cell>
          <cell r="F93">
            <v>44744</v>
          </cell>
          <cell r="G93">
            <v>31</v>
          </cell>
          <cell r="H93">
            <v>0</v>
          </cell>
          <cell r="I93">
            <v>5</v>
          </cell>
          <cell r="J93">
            <v>2</v>
          </cell>
          <cell r="K93">
            <v>24</v>
          </cell>
          <cell r="L93"/>
        </row>
        <row r="94">
          <cell r="B94" t="str">
            <v>SQFMD-0632</v>
          </cell>
          <cell r="C94" t="str">
            <v>Md. Ashikur Rahman</v>
          </cell>
          <cell r="D94" t="str">
            <v>Finance officer</v>
          </cell>
          <cell r="E94" t="str">
            <v>Finance &amp; Accounts</v>
          </cell>
          <cell r="F94">
            <v>44744</v>
          </cell>
          <cell r="G94">
            <v>31</v>
          </cell>
          <cell r="H94">
            <v>0</v>
          </cell>
          <cell r="I94">
            <v>5</v>
          </cell>
          <cell r="J94">
            <v>2</v>
          </cell>
          <cell r="K94">
            <v>24</v>
          </cell>
          <cell r="L94"/>
        </row>
        <row r="95">
          <cell r="B95" t="str">
            <v>SQFMD-0634</v>
          </cell>
          <cell r="C95" t="str">
            <v>Md. Shopon Islam</v>
          </cell>
          <cell r="D95" t="str">
            <v>Service Engineer</v>
          </cell>
          <cell r="E95" t="str">
            <v>Technical</v>
          </cell>
          <cell r="F95">
            <v>44759</v>
          </cell>
          <cell r="G95">
            <v>31</v>
          </cell>
          <cell r="H95">
            <v>2</v>
          </cell>
          <cell r="I95">
            <v>5</v>
          </cell>
          <cell r="J95">
            <v>2</v>
          </cell>
          <cell r="K95">
            <v>22</v>
          </cell>
          <cell r="L95"/>
        </row>
        <row r="96">
          <cell r="B96" t="str">
            <v>SQFMD-0635</v>
          </cell>
          <cell r="C96" t="str">
            <v>Md. Nur Amin Arafat</v>
          </cell>
          <cell r="D96" t="str">
            <v>Service Engineer</v>
          </cell>
          <cell r="E96" t="str">
            <v>Technical</v>
          </cell>
          <cell r="F96">
            <v>44762</v>
          </cell>
          <cell r="G96">
            <v>31</v>
          </cell>
          <cell r="H96">
            <v>0</v>
          </cell>
          <cell r="I96">
            <v>5</v>
          </cell>
          <cell r="J96">
            <v>2</v>
          </cell>
          <cell r="K96">
            <v>24</v>
          </cell>
          <cell r="L96"/>
        </row>
        <row r="97">
          <cell r="B97" t="str">
            <v>SQFMD-0636</v>
          </cell>
          <cell r="C97" t="str">
            <v>Mohammad Abul Bashar</v>
          </cell>
          <cell r="D97" t="str">
            <v>Manager</v>
          </cell>
          <cell r="E97" t="str">
            <v>Store &amp; Logistics</v>
          </cell>
          <cell r="F97">
            <v>44774</v>
          </cell>
          <cell r="G97">
            <v>31</v>
          </cell>
          <cell r="H97">
            <v>0</v>
          </cell>
          <cell r="I97">
            <v>5</v>
          </cell>
          <cell r="J97">
            <v>2</v>
          </cell>
          <cell r="K97">
            <v>24</v>
          </cell>
          <cell r="L97"/>
        </row>
        <row r="98">
          <cell r="B98" t="str">
            <v>SQFMD-0637</v>
          </cell>
          <cell r="C98" t="str">
            <v>Md. Monir Hossain</v>
          </cell>
          <cell r="D98" t="str">
            <v>Sr. Executive</v>
          </cell>
          <cell r="E98" t="str">
            <v>Audit &amp; Monitoring</v>
          </cell>
          <cell r="F98">
            <v>44774</v>
          </cell>
          <cell r="G98">
            <v>31</v>
          </cell>
          <cell r="H98">
            <v>0</v>
          </cell>
          <cell r="I98">
            <v>5</v>
          </cell>
          <cell r="J98">
            <v>2</v>
          </cell>
          <cell r="K98">
            <v>24</v>
          </cell>
          <cell r="L98"/>
        </row>
        <row r="99">
          <cell r="B99" t="str">
            <v>SQFMD-0638</v>
          </cell>
          <cell r="C99" t="str">
            <v>Md. Khasru Rikabdaer</v>
          </cell>
          <cell r="D99" t="str">
            <v>Depot Manager</v>
          </cell>
          <cell r="E99" t="str">
            <v>Pesticide &amp; Fertilizer</v>
          </cell>
          <cell r="F99">
            <v>44776</v>
          </cell>
          <cell r="G99">
            <v>31</v>
          </cell>
          <cell r="H99">
            <v>1</v>
          </cell>
          <cell r="I99">
            <v>5</v>
          </cell>
          <cell r="J99">
            <v>2</v>
          </cell>
          <cell r="K99">
            <v>23</v>
          </cell>
          <cell r="L99"/>
        </row>
        <row r="100">
          <cell r="B100" t="str">
            <v>SQFMD-0640</v>
          </cell>
          <cell r="C100" t="str">
            <v>Md. Shohag</v>
          </cell>
          <cell r="D100" t="str">
            <v>Driver</v>
          </cell>
          <cell r="E100" t="str">
            <v>Transport</v>
          </cell>
          <cell r="F100">
            <v>44782</v>
          </cell>
          <cell r="G100">
            <v>31</v>
          </cell>
          <cell r="H100">
            <v>0</v>
          </cell>
          <cell r="I100">
            <v>5</v>
          </cell>
          <cell r="J100">
            <v>2</v>
          </cell>
          <cell r="K100">
            <v>24</v>
          </cell>
          <cell r="L100"/>
        </row>
        <row r="101">
          <cell r="B101" t="str">
            <v>SQFMD-0641</v>
          </cell>
          <cell r="C101" t="str">
            <v>Md. Mahmudul Hasan</v>
          </cell>
          <cell r="D101" t="str">
            <v>Driver</v>
          </cell>
          <cell r="E101" t="str">
            <v>Transport</v>
          </cell>
          <cell r="F101">
            <v>44828</v>
          </cell>
          <cell r="G101">
            <v>31</v>
          </cell>
          <cell r="H101">
            <v>0</v>
          </cell>
          <cell r="I101">
            <v>5</v>
          </cell>
          <cell r="J101">
            <v>2</v>
          </cell>
          <cell r="K101">
            <v>24</v>
          </cell>
          <cell r="L101"/>
        </row>
        <row r="102">
          <cell r="B102" t="str">
            <v>SQFMD-0643</v>
          </cell>
          <cell r="C102" t="str">
            <v>Md. Shawkot Akbar Khan</v>
          </cell>
          <cell r="D102" t="str">
            <v>Officer In Charge</v>
          </cell>
          <cell r="E102" t="str">
            <v>Pesticide &amp; Fertilizer</v>
          </cell>
          <cell r="F102">
            <v>44805</v>
          </cell>
          <cell r="G102">
            <v>31</v>
          </cell>
          <cell r="H102">
            <v>0</v>
          </cell>
          <cell r="I102">
            <v>5</v>
          </cell>
          <cell r="J102">
            <v>2</v>
          </cell>
          <cell r="K102">
            <v>24</v>
          </cell>
          <cell r="L102"/>
        </row>
        <row r="103">
          <cell r="B103" t="str">
            <v>SQFMD-0644</v>
          </cell>
          <cell r="C103" t="str">
            <v>Md. Junaidur Rahman</v>
          </cell>
          <cell r="D103" t="str">
            <v>Asst. Manager</v>
          </cell>
          <cell r="E103" t="str">
            <v>Pesticide &amp; Fertilizer</v>
          </cell>
          <cell r="F103">
            <v>44805</v>
          </cell>
          <cell r="G103">
            <v>31</v>
          </cell>
          <cell r="H103">
            <v>0</v>
          </cell>
          <cell r="I103">
            <v>5</v>
          </cell>
          <cell r="J103">
            <v>2</v>
          </cell>
          <cell r="K103">
            <v>24</v>
          </cell>
          <cell r="L103"/>
        </row>
        <row r="104">
          <cell r="B104" t="str">
            <v>SQFMD-0646</v>
          </cell>
          <cell r="C104" t="str">
            <v>Md. Asiful Islam</v>
          </cell>
          <cell r="D104" t="str">
            <v>Manager</v>
          </cell>
          <cell r="E104" t="str">
            <v>Finance &amp; Accounts</v>
          </cell>
          <cell r="F104">
            <v>44815</v>
          </cell>
          <cell r="G104">
            <v>31</v>
          </cell>
          <cell r="H104">
            <v>0</v>
          </cell>
          <cell r="I104">
            <v>5</v>
          </cell>
          <cell r="J104">
            <v>2</v>
          </cell>
          <cell r="K104">
            <v>24</v>
          </cell>
          <cell r="L104"/>
        </row>
        <row r="105">
          <cell r="B105" t="str">
            <v>SQFMD-0647</v>
          </cell>
          <cell r="C105" t="str">
            <v>Md. Mamunur Rashid</v>
          </cell>
          <cell r="D105" t="str">
            <v>GM(Tractor)</v>
          </cell>
          <cell r="E105" t="str">
            <v>S&amp;M</v>
          </cell>
          <cell r="F105">
            <v>44824</v>
          </cell>
          <cell r="G105">
            <v>31</v>
          </cell>
          <cell r="H105">
            <v>0</v>
          </cell>
          <cell r="I105">
            <v>5</v>
          </cell>
          <cell r="J105">
            <v>2</v>
          </cell>
          <cell r="K105">
            <v>24</v>
          </cell>
          <cell r="L105"/>
        </row>
        <row r="106">
          <cell r="B106" t="str">
            <v>SQFMD-0654</v>
          </cell>
          <cell r="C106" t="str">
            <v>Md. Ziaur Rahman Vulu</v>
          </cell>
          <cell r="D106" t="str">
            <v>Territory Service Manager</v>
          </cell>
          <cell r="E106" t="str">
            <v>Technical</v>
          </cell>
          <cell r="F106">
            <v>44828</v>
          </cell>
          <cell r="G106">
            <v>31</v>
          </cell>
          <cell r="H106">
            <v>0</v>
          </cell>
          <cell r="I106">
            <v>5</v>
          </cell>
          <cell r="J106">
            <v>2</v>
          </cell>
          <cell r="K106">
            <v>24</v>
          </cell>
          <cell r="L106"/>
        </row>
        <row r="107">
          <cell r="B107" t="str">
            <v>SQFMD-0655</v>
          </cell>
          <cell r="C107" t="str">
            <v>Hashim Uddin</v>
          </cell>
          <cell r="D107" t="str">
            <v>Jr. Mechanic</v>
          </cell>
          <cell r="E107" t="str">
            <v>Technical</v>
          </cell>
          <cell r="F107">
            <v>44817</v>
          </cell>
          <cell r="G107">
            <v>31</v>
          </cell>
          <cell r="H107">
            <v>0</v>
          </cell>
          <cell r="I107">
            <v>5</v>
          </cell>
          <cell r="J107">
            <v>2</v>
          </cell>
          <cell r="K107">
            <v>24</v>
          </cell>
          <cell r="L107">
            <v>6</v>
          </cell>
        </row>
        <row r="108">
          <cell r="B108" t="str">
            <v>SQFMD-0657</v>
          </cell>
          <cell r="C108" t="str">
            <v>Sadeck Ahmed</v>
          </cell>
          <cell r="D108" t="str">
            <v>Jr. Mechanic</v>
          </cell>
          <cell r="E108" t="str">
            <v>Technical</v>
          </cell>
          <cell r="F108">
            <v>44817</v>
          </cell>
          <cell r="G108">
            <v>31</v>
          </cell>
          <cell r="H108">
            <v>1</v>
          </cell>
          <cell r="I108">
            <v>5</v>
          </cell>
          <cell r="J108">
            <v>2</v>
          </cell>
          <cell r="K108">
            <v>23</v>
          </cell>
          <cell r="L108"/>
        </row>
        <row r="109">
          <cell r="B109" t="str">
            <v>SQFMD-0658</v>
          </cell>
          <cell r="C109" t="str">
            <v>Md. Repon Miah</v>
          </cell>
          <cell r="D109" t="str">
            <v>Jr. Mechanic</v>
          </cell>
          <cell r="E109" t="str">
            <v>Technical</v>
          </cell>
          <cell r="F109">
            <v>44819</v>
          </cell>
          <cell r="G109">
            <v>31</v>
          </cell>
          <cell r="H109">
            <v>0</v>
          </cell>
          <cell r="I109">
            <v>5</v>
          </cell>
          <cell r="J109">
            <v>2</v>
          </cell>
          <cell r="K109">
            <v>24</v>
          </cell>
          <cell r="L109"/>
        </row>
        <row r="110">
          <cell r="B110" t="str">
            <v>SQFMD-0659</v>
          </cell>
          <cell r="C110" t="str">
            <v>Md. Aminul Haque</v>
          </cell>
          <cell r="D110" t="str">
            <v>Mechanic</v>
          </cell>
          <cell r="E110" t="str">
            <v>Technical</v>
          </cell>
          <cell r="F110">
            <v>44835</v>
          </cell>
          <cell r="G110">
            <v>31</v>
          </cell>
          <cell r="H110">
            <v>0</v>
          </cell>
          <cell r="I110">
            <v>5</v>
          </cell>
          <cell r="J110">
            <v>2</v>
          </cell>
          <cell r="K110">
            <v>24</v>
          </cell>
          <cell r="L110"/>
        </row>
        <row r="111">
          <cell r="B111" t="str">
            <v>SQFMD-0662</v>
          </cell>
          <cell r="C111" t="str">
            <v>Md. Tanbir Hasan</v>
          </cell>
          <cell r="D111" t="str">
            <v>Manager</v>
          </cell>
          <cell r="E111" t="str">
            <v>Seed</v>
          </cell>
          <cell r="F111">
            <v>44835</v>
          </cell>
          <cell r="G111">
            <v>31</v>
          </cell>
          <cell r="H111">
            <v>0</v>
          </cell>
          <cell r="I111">
            <v>5</v>
          </cell>
          <cell r="J111">
            <v>2</v>
          </cell>
          <cell r="K111">
            <v>24</v>
          </cell>
          <cell r="L111">
            <v>1</v>
          </cell>
        </row>
        <row r="112">
          <cell r="B112" t="str">
            <v>SQFMD-0666</v>
          </cell>
          <cell r="C112" t="str">
            <v>Md. Akabbor Ali</v>
          </cell>
          <cell r="D112" t="str">
            <v>Helper (Lowbed)</v>
          </cell>
          <cell r="E112" t="str">
            <v>Transport</v>
          </cell>
          <cell r="F112">
            <v>44866</v>
          </cell>
          <cell r="G112">
            <v>31</v>
          </cell>
          <cell r="H112">
            <v>0</v>
          </cell>
          <cell r="I112">
            <v>5</v>
          </cell>
          <cell r="J112">
            <v>2</v>
          </cell>
          <cell r="K112">
            <v>24</v>
          </cell>
          <cell r="L112"/>
        </row>
        <row r="113">
          <cell r="B113" t="str">
            <v>SQFMD-0667</v>
          </cell>
          <cell r="C113" t="str">
            <v>Md. Robiul Islam</v>
          </cell>
          <cell r="D113" t="str">
            <v>Sr. Territory Manager</v>
          </cell>
          <cell r="E113" t="str">
            <v>Pesticide &amp; Fertilizer</v>
          </cell>
          <cell r="F113">
            <v>44849</v>
          </cell>
          <cell r="G113">
            <v>31</v>
          </cell>
          <cell r="H113">
            <v>0</v>
          </cell>
          <cell r="I113">
            <v>5</v>
          </cell>
          <cell r="J113">
            <v>2</v>
          </cell>
          <cell r="K113">
            <v>24</v>
          </cell>
          <cell r="L113"/>
        </row>
        <row r="114">
          <cell r="B114" t="str">
            <v>SQFMD-0668</v>
          </cell>
          <cell r="C114" t="str">
            <v>Md. Shafiqul Islam</v>
          </cell>
          <cell r="D114" t="str">
            <v>Sr. Territory Manager</v>
          </cell>
          <cell r="E114" t="str">
            <v>S&amp;M</v>
          </cell>
          <cell r="F114">
            <v>44849</v>
          </cell>
          <cell r="G114">
            <v>31</v>
          </cell>
          <cell r="H114">
            <v>0</v>
          </cell>
          <cell r="I114">
            <v>5</v>
          </cell>
          <cell r="J114">
            <v>2</v>
          </cell>
          <cell r="K114">
            <v>24</v>
          </cell>
          <cell r="L114"/>
        </row>
        <row r="115">
          <cell r="B115" t="str">
            <v>SQFMD-0669</v>
          </cell>
          <cell r="C115" t="str">
            <v>Md. Ali Reza Manik</v>
          </cell>
          <cell r="D115" t="str">
            <v>Deputy Regional Manager</v>
          </cell>
          <cell r="E115" t="str">
            <v>S&amp;M</v>
          </cell>
          <cell r="F115">
            <v>44849</v>
          </cell>
          <cell r="G115">
            <v>31</v>
          </cell>
          <cell r="H115">
            <v>0</v>
          </cell>
          <cell r="I115">
            <v>5</v>
          </cell>
          <cell r="J115">
            <v>2</v>
          </cell>
          <cell r="K115">
            <v>24</v>
          </cell>
          <cell r="L115"/>
        </row>
        <row r="116">
          <cell r="B116" t="str">
            <v>SQFMD-0672</v>
          </cell>
          <cell r="C116" t="str">
            <v>Md. Nazim Uddin</v>
          </cell>
          <cell r="D116" t="str">
            <v>Store Officer</v>
          </cell>
          <cell r="E116" t="str">
            <v>Pesticide &amp; Fertilizer</v>
          </cell>
          <cell r="F116">
            <v>44849</v>
          </cell>
          <cell r="G116">
            <v>31</v>
          </cell>
          <cell r="H116">
            <v>0</v>
          </cell>
          <cell r="I116">
            <v>5</v>
          </cell>
          <cell r="J116">
            <v>2</v>
          </cell>
          <cell r="K116">
            <v>24</v>
          </cell>
          <cell r="L116"/>
        </row>
        <row r="117">
          <cell r="B117" t="str">
            <v>SQFMD-0674</v>
          </cell>
          <cell r="C117" t="str">
            <v>Md. Saheb Ali</v>
          </cell>
          <cell r="D117" t="str">
            <v>Security Incharge</v>
          </cell>
          <cell r="E117" t="str">
            <v>Admin</v>
          </cell>
          <cell r="F117">
            <v>44849</v>
          </cell>
          <cell r="G117">
            <v>31</v>
          </cell>
          <cell r="H117">
            <v>2</v>
          </cell>
          <cell r="I117">
            <v>5</v>
          </cell>
          <cell r="J117">
            <v>2</v>
          </cell>
          <cell r="K117">
            <v>22</v>
          </cell>
          <cell r="L117"/>
        </row>
        <row r="118">
          <cell r="B118" t="str">
            <v>SQFMD-0675</v>
          </cell>
          <cell r="C118" t="str">
            <v>Md. Shariful Islam</v>
          </cell>
          <cell r="D118" t="str">
            <v>Jr. Mechanic</v>
          </cell>
          <cell r="E118" t="str">
            <v>Technical</v>
          </cell>
          <cell r="F118">
            <v>44849</v>
          </cell>
          <cell r="G118">
            <v>31</v>
          </cell>
          <cell r="H118">
            <v>0</v>
          </cell>
          <cell r="I118">
            <v>5</v>
          </cell>
          <cell r="J118">
            <v>2</v>
          </cell>
          <cell r="K118">
            <v>24</v>
          </cell>
          <cell r="L118"/>
        </row>
        <row r="119">
          <cell r="B119" t="str">
            <v>SQFMD-0677</v>
          </cell>
          <cell r="C119" t="str">
            <v>Md. Abdus Salam Shek</v>
          </cell>
          <cell r="D119" t="str">
            <v>Store Officer</v>
          </cell>
          <cell r="E119" t="str">
            <v>Store &amp; Logistics</v>
          </cell>
          <cell r="F119">
            <v>44866</v>
          </cell>
          <cell r="G119">
            <v>31</v>
          </cell>
          <cell r="H119">
            <v>0</v>
          </cell>
          <cell r="I119">
            <v>5</v>
          </cell>
          <cell r="J119">
            <v>2</v>
          </cell>
          <cell r="K119">
            <v>24</v>
          </cell>
          <cell r="L119"/>
        </row>
        <row r="120">
          <cell r="B120" t="str">
            <v>SQFMD-0680</v>
          </cell>
          <cell r="C120" t="str">
            <v>Kamrul Hasan</v>
          </cell>
          <cell r="D120" t="str">
            <v>ATSO</v>
          </cell>
          <cell r="E120" t="str">
            <v>S&amp;M</v>
          </cell>
          <cell r="F120">
            <v>44866</v>
          </cell>
          <cell r="G120">
            <v>31</v>
          </cell>
          <cell r="H120">
            <v>3</v>
          </cell>
          <cell r="I120">
            <v>5</v>
          </cell>
          <cell r="J120">
            <v>2</v>
          </cell>
          <cell r="K120">
            <v>21</v>
          </cell>
          <cell r="L120"/>
        </row>
        <row r="121">
          <cell r="B121" t="str">
            <v>SQFMD-0681</v>
          </cell>
          <cell r="C121" t="str">
            <v>Md. Delwar Hossain</v>
          </cell>
          <cell r="D121" t="str">
            <v>GM(Finance)</v>
          </cell>
          <cell r="E121" t="str">
            <v>Finance &amp; Accounts</v>
          </cell>
          <cell r="F121">
            <v>44854</v>
          </cell>
          <cell r="G121">
            <v>31</v>
          </cell>
          <cell r="H121">
            <v>0</v>
          </cell>
          <cell r="I121">
            <v>5</v>
          </cell>
          <cell r="J121">
            <v>2</v>
          </cell>
          <cell r="K121">
            <v>24</v>
          </cell>
          <cell r="L121"/>
        </row>
        <row r="122">
          <cell r="B122" t="str">
            <v>SQFMD-0683</v>
          </cell>
          <cell r="C122" t="str">
            <v>Md. Moshiur Rahman</v>
          </cell>
          <cell r="D122" t="str">
            <v>RM</v>
          </cell>
          <cell r="E122" t="str">
            <v>S&amp;M</v>
          </cell>
          <cell r="F122">
            <v>44867</v>
          </cell>
          <cell r="G122">
            <v>31</v>
          </cell>
          <cell r="H122">
            <v>0</v>
          </cell>
          <cell r="I122">
            <v>5</v>
          </cell>
          <cell r="J122">
            <v>2</v>
          </cell>
          <cell r="K122">
            <v>24</v>
          </cell>
          <cell r="L122"/>
        </row>
        <row r="123">
          <cell r="B123" t="str">
            <v>SQFMD-0684</v>
          </cell>
          <cell r="C123" t="str">
            <v>Md. Sadak Hossain Palash</v>
          </cell>
          <cell r="D123" t="str">
            <v>DGM (CRRM)</v>
          </cell>
          <cell r="E123" t="str">
            <v>CRRM</v>
          </cell>
          <cell r="F123">
            <v>40238</v>
          </cell>
          <cell r="G123">
            <v>31</v>
          </cell>
          <cell r="H123">
            <v>0</v>
          </cell>
          <cell r="I123">
            <v>5</v>
          </cell>
          <cell r="J123">
            <v>2</v>
          </cell>
          <cell r="K123">
            <v>24</v>
          </cell>
          <cell r="L123"/>
        </row>
        <row r="124">
          <cell r="B124" t="str">
            <v>SQFMD-0685</v>
          </cell>
          <cell r="C124" t="str">
            <v>Shahjaman</v>
          </cell>
          <cell r="D124" t="str">
            <v>Store Assistant</v>
          </cell>
          <cell r="E124" t="str">
            <v>Store &amp; Logistics</v>
          </cell>
          <cell r="F124">
            <v>44866</v>
          </cell>
          <cell r="G124">
            <v>31</v>
          </cell>
          <cell r="H124">
            <v>0</v>
          </cell>
          <cell r="I124">
            <v>5</v>
          </cell>
          <cell r="J124">
            <v>2</v>
          </cell>
          <cell r="K124">
            <v>24</v>
          </cell>
          <cell r="L124"/>
        </row>
        <row r="125">
          <cell r="B125" t="str">
            <v>SQFMD-0686</v>
          </cell>
          <cell r="C125" t="str">
            <v>Md. Akter Hossen</v>
          </cell>
          <cell r="D125" t="str">
            <v>Office Assistant</v>
          </cell>
          <cell r="E125" t="str">
            <v>Admin</v>
          </cell>
          <cell r="F125">
            <v>44870</v>
          </cell>
          <cell r="G125">
            <v>31</v>
          </cell>
          <cell r="H125">
            <v>0</v>
          </cell>
          <cell r="I125">
            <v>5</v>
          </cell>
          <cell r="J125">
            <v>2</v>
          </cell>
          <cell r="K125">
            <v>24</v>
          </cell>
          <cell r="L125"/>
        </row>
        <row r="126">
          <cell r="B126" t="str">
            <v>SQFMD-0687</v>
          </cell>
          <cell r="C126" t="str">
            <v>Md. Tanvir Islam</v>
          </cell>
          <cell r="D126" t="str">
            <v>Sr. Territory Manager</v>
          </cell>
          <cell r="E126" t="str">
            <v>S&amp;M</v>
          </cell>
          <cell r="F126">
            <v>44874</v>
          </cell>
          <cell r="G126">
            <v>31</v>
          </cell>
          <cell r="H126">
            <v>0</v>
          </cell>
          <cell r="I126">
            <v>5</v>
          </cell>
          <cell r="J126">
            <v>2</v>
          </cell>
          <cell r="K126">
            <v>24</v>
          </cell>
          <cell r="L126"/>
        </row>
        <row r="127">
          <cell r="B127" t="str">
            <v>SQFMD-0688</v>
          </cell>
          <cell r="C127" t="str">
            <v>Md. Mamun Islam</v>
          </cell>
          <cell r="D127" t="str">
            <v>Mechanic</v>
          </cell>
          <cell r="E127" t="str">
            <v>Technical</v>
          </cell>
          <cell r="F127">
            <v>44875</v>
          </cell>
          <cell r="G127">
            <v>31</v>
          </cell>
          <cell r="H127">
            <v>2</v>
          </cell>
          <cell r="I127">
            <v>5</v>
          </cell>
          <cell r="J127">
            <v>2</v>
          </cell>
          <cell r="K127">
            <v>22</v>
          </cell>
          <cell r="L127"/>
        </row>
        <row r="128">
          <cell r="B128" t="str">
            <v>SQFMD-0689</v>
          </cell>
          <cell r="C128" t="str">
            <v>Md. Tamal Sarkar</v>
          </cell>
          <cell r="D128" t="str">
            <v>ATSO</v>
          </cell>
          <cell r="E128" t="str">
            <v>S&amp;M</v>
          </cell>
          <cell r="F128">
            <v>44885</v>
          </cell>
          <cell r="G128">
            <v>31</v>
          </cell>
          <cell r="H128">
            <v>0</v>
          </cell>
          <cell r="I128">
            <v>5</v>
          </cell>
          <cell r="J128">
            <v>2</v>
          </cell>
          <cell r="K128">
            <v>24</v>
          </cell>
          <cell r="L128"/>
        </row>
        <row r="129">
          <cell r="B129" t="str">
            <v>SQFMD-0691</v>
          </cell>
          <cell r="C129" t="str">
            <v>Jikrul Islam</v>
          </cell>
          <cell r="D129" t="str">
            <v>TSO</v>
          </cell>
          <cell r="E129" t="str">
            <v>S&amp;M</v>
          </cell>
          <cell r="F129">
            <v>44880</v>
          </cell>
          <cell r="G129">
            <v>31</v>
          </cell>
          <cell r="H129">
            <v>2</v>
          </cell>
          <cell r="I129">
            <v>5</v>
          </cell>
          <cell r="J129">
            <v>2</v>
          </cell>
          <cell r="K129">
            <v>22</v>
          </cell>
          <cell r="L129"/>
        </row>
        <row r="130">
          <cell r="B130" t="str">
            <v>SQFMD-0692</v>
          </cell>
          <cell r="C130" t="str">
            <v>Mizanur Rahman Mizan</v>
          </cell>
          <cell r="D130" t="str">
            <v>TSO</v>
          </cell>
          <cell r="E130" t="str">
            <v>S&amp;M</v>
          </cell>
          <cell r="F130">
            <v>44880</v>
          </cell>
          <cell r="G130">
            <v>31</v>
          </cell>
          <cell r="H130">
            <v>2</v>
          </cell>
          <cell r="I130">
            <v>5</v>
          </cell>
          <cell r="J130">
            <v>2</v>
          </cell>
          <cell r="K130">
            <v>22</v>
          </cell>
          <cell r="L130"/>
        </row>
        <row r="131">
          <cell r="B131" t="str">
            <v>SQFMD-0693</v>
          </cell>
          <cell r="C131" t="str">
            <v>Md. Sultan Mahamud</v>
          </cell>
          <cell r="D131" t="str">
            <v>DRM</v>
          </cell>
          <cell r="E131" t="str">
            <v>S&amp;M</v>
          </cell>
          <cell r="F131">
            <v>44880</v>
          </cell>
          <cell r="G131">
            <v>31</v>
          </cell>
          <cell r="H131">
            <v>4</v>
          </cell>
          <cell r="I131">
            <v>5</v>
          </cell>
          <cell r="J131">
            <v>2</v>
          </cell>
          <cell r="K131">
            <v>20</v>
          </cell>
          <cell r="L131"/>
        </row>
        <row r="132">
          <cell r="B132" t="str">
            <v>SQFMD-0694</v>
          </cell>
          <cell r="C132" t="str">
            <v>Md. Saju Ahammad</v>
          </cell>
          <cell r="D132" t="str">
            <v>Mechanic</v>
          </cell>
          <cell r="E132" t="str">
            <v>Technical</v>
          </cell>
          <cell r="F132">
            <v>44882</v>
          </cell>
          <cell r="G132">
            <v>31</v>
          </cell>
          <cell r="H132">
            <v>0</v>
          </cell>
          <cell r="I132">
            <v>5</v>
          </cell>
          <cell r="J132">
            <v>2</v>
          </cell>
          <cell r="K132">
            <v>24</v>
          </cell>
          <cell r="L132"/>
        </row>
        <row r="133">
          <cell r="B133" t="str">
            <v>SQFMD-0696</v>
          </cell>
          <cell r="C133" t="str">
            <v>Md. Mahfuzur Rahman</v>
          </cell>
          <cell r="D133" t="str">
            <v>Jr. Mechanic</v>
          </cell>
          <cell r="E133" t="str">
            <v>Technical</v>
          </cell>
          <cell r="F133">
            <v>44885</v>
          </cell>
          <cell r="G133">
            <v>31</v>
          </cell>
          <cell r="H133">
            <v>1</v>
          </cell>
          <cell r="I133">
            <v>5</v>
          </cell>
          <cell r="J133">
            <v>2</v>
          </cell>
          <cell r="K133">
            <v>23</v>
          </cell>
          <cell r="L133"/>
        </row>
        <row r="134">
          <cell r="B134" t="str">
            <v>SQFMD-0698</v>
          </cell>
          <cell r="C134" t="str">
            <v>Md. Razib Rony</v>
          </cell>
          <cell r="D134" t="str">
            <v>Sr. Mechanic</v>
          </cell>
          <cell r="E134" t="str">
            <v>Technical</v>
          </cell>
          <cell r="F134">
            <v>44886</v>
          </cell>
          <cell r="G134">
            <v>31</v>
          </cell>
          <cell r="H134">
            <v>0</v>
          </cell>
          <cell r="I134">
            <v>5</v>
          </cell>
          <cell r="J134">
            <v>2</v>
          </cell>
          <cell r="K134">
            <v>24</v>
          </cell>
          <cell r="L134"/>
        </row>
        <row r="135">
          <cell r="B135" t="str">
            <v>SQFMD-0701</v>
          </cell>
          <cell r="C135" t="str">
            <v>Md. Bellal Hossain Talukder</v>
          </cell>
          <cell r="D135" t="str">
            <v>Office Assistant</v>
          </cell>
          <cell r="E135" t="str">
            <v>Admin</v>
          </cell>
          <cell r="F135">
            <v>44912</v>
          </cell>
          <cell r="G135">
            <v>31</v>
          </cell>
          <cell r="H135">
            <v>0</v>
          </cell>
          <cell r="I135">
            <v>5</v>
          </cell>
          <cell r="J135">
            <v>2</v>
          </cell>
          <cell r="K135">
            <v>24</v>
          </cell>
          <cell r="L135"/>
        </row>
        <row r="136">
          <cell r="B136" t="str">
            <v>SQFMD-0702</v>
          </cell>
          <cell r="C136" t="str">
            <v>Faysal Ahammed Munshi</v>
          </cell>
          <cell r="D136" t="str">
            <v>Store Officer</v>
          </cell>
          <cell r="E136" t="str">
            <v>Store &amp; logistics</v>
          </cell>
          <cell r="F136">
            <v>44915</v>
          </cell>
          <cell r="G136">
            <v>31</v>
          </cell>
          <cell r="H136">
            <v>0</v>
          </cell>
          <cell r="I136">
            <v>5</v>
          </cell>
          <cell r="J136">
            <v>2</v>
          </cell>
          <cell r="K136">
            <v>24</v>
          </cell>
          <cell r="L136"/>
        </row>
        <row r="137">
          <cell r="B137" t="str">
            <v>SQFMD-0704</v>
          </cell>
          <cell r="C137" t="str">
            <v>Md. Abdur Rouf</v>
          </cell>
          <cell r="D137" t="str">
            <v>Sr. Officer (Production)</v>
          </cell>
          <cell r="E137" t="str">
            <v>Seed</v>
          </cell>
          <cell r="F137">
            <v>44927</v>
          </cell>
          <cell r="G137">
            <v>31</v>
          </cell>
          <cell r="H137">
            <v>0</v>
          </cell>
          <cell r="I137">
            <v>5</v>
          </cell>
          <cell r="J137">
            <v>2</v>
          </cell>
          <cell r="K137">
            <v>24</v>
          </cell>
          <cell r="L137"/>
        </row>
        <row r="138">
          <cell r="B138" t="str">
            <v>SQFMD-0706</v>
          </cell>
          <cell r="C138" t="str">
            <v>Asik Ahmed</v>
          </cell>
          <cell r="D138" t="str">
            <v>Store Officer</v>
          </cell>
          <cell r="E138" t="str">
            <v>Store &amp; logistics</v>
          </cell>
          <cell r="F138">
            <v>44941</v>
          </cell>
          <cell r="G138">
            <v>31</v>
          </cell>
          <cell r="H138">
            <v>0</v>
          </cell>
          <cell r="I138">
            <v>5</v>
          </cell>
          <cell r="J138">
            <v>2</v>
          </cell>
          <cell r="K138">
            <v>24</v>
          </cell>
          <cell r="L138"/>
        </row>
        <row r="139">
          <cell r="B139" t="str">
            <v>SQFMD-0707</v>
          </cell>
          <cell r="C139" t="str">
            <v>Md. Sorowar Hossain</v>
          </cell>
          <cell r="D139" t="str">
            <v>Officer (Production)</v>
          </cell>
          <cell r="E139" t="str">
            <v>Seed</v>
          </cell>
          <cell r="F139">
            <v>44947</v>
          </cell>
          <cell r="G139">
            <v>31</v>
          </cell>
          <cell r="H139">
            <v>0</v>
          </cell>
          <cell r="I139">
            <v>5</v>
          </cell>
          <cell r="J139">
            <v>2</v>
          </cell>
          <cell r="K139">
            <v>24</v>
          </cell>
          <cell r="L139"/>
        </row>
        <row r="140">
          <cell r="B140" t="str">
            <v>SQFMD-0708</v>
          </cell>
          <cell r="C140" t="str">
            <v>Md. Nurul Islam Talukder</v>
          </cell>
          <cell r="D140" t="str">
            <v>Consultant</v>
          </cell>
          <cell r="E140" t="str">
            <v>HR &amp; Admin</v>
          </cell>
          <cell r="F140">
            <v>44867</v>
          </cell>
          <cell r="G140">
            <v>31</v>
          </cell>
          <cell r="H140">
            <v>0</v>
          </cell>
          <cell r="I140">
            <v>5</v>
          </cell>
          <cell r="J140">
            <v>2</v>
          </cell>
          <cell r="K140">
            <v>24</v>
          </cell>
          <cell r="L140"/>
        </row>
        <row r="141">
          <cell r="B141" t="str">
            <v>SQFMD-0709</v>
          </cell>
          <cell r="C141" t="str">
            <v>Golam Naser Zilany</v>
          </cell>
          <cell r="D141" t="str">
            <v>Asst. Manager</v>
          </cell>
          <cell r="E141" t="str">
            <v>R&amp;D</v>
          </cell>
          <cell r="F141">
            <v>44942</v>
          </cell>
          <cell r="G141">
            <v>31</v>
          </cell>
          <cell r="H141">
            <v>0</v>
          </cell>
          <cell r="I141">
            <v>5</v>
          </cell>
          <cell r="J141">
            <v>2</v>
          </cell>
          <cell r="K141">
            <v>24</v>
          </cell>
          <cell r="L141"/>
        </row>
        <row r="142">
          <cell r="B142" t="str">
            <v>SQFMD-0712</v>
          </cell>
          <cell r="C142" t="str">
            <v>Md. Tahsinur Rahman</v>
          </cell>
          <cell r="D142" t="str">
            <v>HR Officer</v>
          </cell>
          <cell r="E142" t="str">
            <v>HR &amp; Admin</v>
          </cell>
          <cell r="F142">
            <v>45323</v>
          </cell>
          <cell r="G142">
            <v>31</v>
          </cell>
          <cell r="H142">
            <v>0</v>
          </cell>
          <cell r="I142">
            <v>5</v>
          </cell>
          <cell r="J142">
            <v>2</v>
          </cell>
          <cell r="K142">
            <v>24</v>
          </cell>
          <cell r="L142">
            <v>15</v>
          </cell>
        </row>
        <row r="143">
          <cell r="B143" t="str">
            <v>SQFMD-0713</v>
          </cell>
          <cell r="C143" t="str">
            <v>Shahadatul Islam</v>
          </cell>
          <cell r="D143" t="str">
            <v>Jr. Mechanic</v>
          </cell>
          <cell r="E143" t="str">
            <v>Technical</v>
          </cell>
          <cell r="F143">
            <v>44945</v>
          </cell>
          <cell r="G143">
            <v>31</v>
          </cell>
          <cell r="H143">
            <v>0</v>
          </cell>
          <cell r="I143">
            <v>5</v>
          </cell>
          <cell r="J143">
            <v>2</v>
          </cell>
          <cell r="K143">
            <v>24</v>
          </cell>
          <cell r="L143"/>
        </row>
        <row r="144">
          <cell r="B144" t="str">
            <v>SQFMD-0716</v>
          </cell>
          <cell r="C144" t="str">
            <v>Md. Gulzar Islam</v>
          </cell>
          <cell r="D144" t="str">
            <v>Mechanic</v>
          </cell>
          <cell r="E144" t="str">
            <v>Technical</v>
          </cell>
          <cell r="F144">
            <v>44949</v>
          </cell>
          <cell r="G144">
            <v>31</v>
          </cell>
          <cell r="H144">
            <v>3</v>
          </cell>
          <cell r="I144">
            <v>5</v>
          </cell>
          <cell r="J144">
            <v>2</v>
          </cell>
          <cell r="K144">
            <v>21</v>
          </cell>
          <cell r="L144">
            <v>1</v>
          </cell>
        </row>
        <row r="145">
          <cell r="B145" t="str">
            <v>SQFMD-0717</v>
          </cell>
          <cell r="C145" t="str">
            <v>Israt Jahan</v>
          </cell>
          <cell r="D145" t="str">
            <v>Executive (S&amp;A)</v>
          </cell>
          <cell r="E145" t="str">
            <v>S&amp;M</v>
          </cell>
          <cell r="F145">
            <v>44958</v>
          </cell>
          <cell r="G145">
            <v>31</v>
          </cell>
          <cell r="H145">
            <v>0</v>
          </cell>
          <cell r="I145">
            <v>5</v>
          </cell>
          <cell r="J145">
            <v>2</v>
          </cell>
          <cell r="K145">
            <v>24</v>
          </cell>
          <cell r="L145"/>
        </row>
        <row r="146">
          <cell r="B146" t="str">
            <v>SQFMD-0718</v>
          </cell>
          <cell r="C146" t="str">
            <v>Md. Suhanur Rahman Suhag</v>
          </cell>
          <cell r="D146" t="str">
            <v>Mechanic</v>
          </cell>
          <cell r="E146" t="str">
            <v>Technical</v>
          </cell>
          <cell r="F146">
            <v>44968</v>
          </cell>
          <cell r="G146">
            <v>31</v>
          </cell>
          <cell r="H146">
            <v>0</v>
          </cell>
          <cell r="I146">
            <v>5</v>
          </cell>
          <cell r="J146">
            <v>2</v>
          </cell>
          <cell r="K146">
            <v>24</v>
          </cell>
          <cell r="L146"/>
        </row>
        <row r="147">
          <cell r="B147" t="str">
            <v>SQFMD-0719</v>
          </cell>
          <cell r="C147" t="str">
            <v>Shohel Rana</v>
          </cell>
          <cell r="D147" t="str">
            <v>Mechanic</v>
          </cell>
          <cell r="E147" t="str">
            <v>Technical</v>
          </cell>
          <cell r="F147">
            <v>44966</v>
          </cell>
          <cell r="G147">
            <v>31</v>
          </cell>
          <cell r="H147">
            <v>0</v>
          </cell>
          <cell r="I147">
            <v>5</v>
          </cell>
          <cell r="J147">
            <v>2</v>
          </cell>
          <cell r="K147">
            <v>24</v>
          </cell>
          <cell r="L147"/>
        </row>
        <row r="148">
          <cell r="B148" t="str">
            <v>SQFMD-0720</v>
          </cell>
          <cell r="C148" t="str">
            <v>Md. Shofiqul Islam</v>
          </cell>
          <cell r="D148" t="str">
            <v>Asst. Territory Manager</v>
          </cell>
          <cell r="E148" t="str">
            <v>S&amp;M</v>
          </cell>
          <cell r="F148">
            <v>44964</v>
          </cell>
          <cell r="G148">
            <v>31</v>
          </cell>
          <cell r="H148">
            <v>0</v>
          </cell>
          <cell r="I148">
            <v>5</v>
          </cell>
          <cell r="J148">
            <v>2</v>
          </cell>
          <cell r="K148">
            <v>24</v>
          </cell>
          <cell r="L148"/>
        </row>
        <row r="149">
          <cell r="B149" t="str">
            <v>SQFMD-0721</v>
          </cell>
          <cell r="C149" t="str">
            <v>Md. Maznur Rahman</v>
          </cell>
          <cell r="D149" t="str">
            <v>Regional Manager</v>
          </cell>
          <cell r="E149" t="str">
            <v>S&amp;M</v>
          </cell>
          <cell r="F149">
            <v>44964</v>
          </cell>
          <cell r="G149">
            <v>31</v>
          </cell>
          <cell r="H149">
            <v>0</v>
          </cell>
          <cell r="I149">
            <v>5</v>
          </cell>
          <cell r="J149">
            <v>2</v>
          </cell>
          <cell r="K149">
            <v>24</v>
          </cell>
          <cell r="L149"/>
        </row>
        <row r="150">
          <cell r="B150" t="str">
            <v>SQFMD-0722</v>
          </cell>
          <cell r="C150" t="str">
            <v>Dilip Kumar Barmon</v>
          </cell>
          <cell r="D150" t="str">
            <v>STSO</v>
          </cell>
          <cell r="E150" t="str">
            <v>S&amp;M</v>
          </cell>
          <cell r="F150">
            <v>44965</v>
          </cell>
          <cell r="G150">
            <v>31</v>
          </cell>
          <cell r="H150">
            <v>0</v>
          </cell>
          <cell r="I150">
            <v>5</v>
          </cell>
          <cell r="J150">
            <v>2</v>
          </cell>
          <cell r="K150">
            <v>24</v>
          </cell>
          <cell r="L150"/>
        </row>
        <row r="151">
          <cell r="B151" t="str">
            <v>SQFMD-0724</v>
          </cell>
          <cell r="C151" t="str">
            <v>Md. Billal Hossain</v>
          </cell>
          <cell r="D151" t="str">
            <v>STSO</v>
          </cell>
          <cell r="E151" t="str">
            <v>Seed</v>
          </cell>
          <cell r="F151">
            <v>44977</v>
          </cell>
          <cell r="G151">
            <v>31</v>
          </cell>
          <cell r="H151">
            <v>0</v>
          </cell>
          <cell r="I151">
            <v>5</v>
          </cell>
          <cell r="J151">
            <v>2</v>
          </cell>
          <cell r="K151">
            <v>24</v>
          </cell>
          <cell r="L151"/>
        </row>
        <row r="152">
          <cell r="B152" t="str">
            <v>SQFMD-0726</v>
          </cell>
          <cell r="C152" t="str">
            <v>Md. Shoiyeb Hasan Sajal</v>
          </cell>
          <cell r="D152" t="str">
            <v>Territorry Service Manager</v>
          </cell>
          <cell r="E152" t="str">
            <v>Technical</v>
          </cell>
          <cell r="F152">
            <v>44979</v>
          </cell>
          <cell r="G152">
            <v>31</v>
          </cell>
          <cell r="H152">
            <v>0</v>
          </cell>
          <cell r="I152">
            <v>5</v>
          </cell>
          <cell r="J152">
            <v>2</v>
          </cell>
          <cell r="K152">
            <v>24</v>
          </cell>
          <cell r="L152"/>
        </row>
        <row r="153">
          <cell r="B153" t="str">
            <v>SQFMD-0727</v>
          </cell>
          <cell r="C153" t="str">
            <v>Shofiqul Islam</v>
          </cell>
          <cell r="D153" t="str">
            <v>Service Engineer</v>
          </cell>
          <cell r="E153" t="str">
            <v>Technical</v>
          </cell>
          <cell r="F153">
            <v>44968</v>
          </cell>
          <cell r="G153">
            <v>31</v>
          </cell>
          <cell r="H153">
            <v>0</v>
          </cell>
          <cell r="I153">
            <v>5</v>
          </cell>
          <cell r="J153">
            <v>2</v>
          </cell>
          <cell r="K153">
            <v>24</v>
          </cell>
          <cell r="L153"/>
        </row>
        <row r="154">
          <cell r="B154" t="str">
            <v>SQFMD-0728</v>
          </cell>
          <cell r="C154" t="str">
            <v>Al Farabie Mubashir</v>
          </cell>
          <cell r="D154" t="str">
            <v>Trainee Engineer</v>
          </cell>
          <cell r="E154" t="str">
            <v>Technical</v>
          </cell>
          <cell r="F154">
            <v>44972</v>
          </cell>
          <cell r="G154">
            <v>31</v>
          </cell>
          <cell r="H154">
            <v>0</v>
          </cell>
          <cell r="I154">
            <v>5</v>
          </cell>
          <cell r="J154">
            <v>2</v>
          </cell>
          <cell r="K154">
            <v>24</v>
          </cell>
          <cell r="L154"/>
        </row>
        <row r="155">
          <cell r="B155" t="str">
            <v>SQFMD-0729</v>
          </cell>
          <cell r="C155" t="str">
            <v>Sohid Ali</v>
          </cell>
          <cell r="D155" t="str">
            <v>ATSO</v>
          </cell>
          <cell r="E155" t="str">
            <v>S&amp;M</v>
          </cell>
          <cell r="F155">
            <v>44986</v>
          </cell>
          <cell r="G155">
            <v>31</v>
          </cell>
          <cell r="H155">
            <v>1</v>
          </cell>
          <cell r="I155">
            <v>5</v>
          </cell>
          <cell r="J155">
            <v>2</v>
          </cell>
          <cell r="K155">
            <v>23</v>
          </cell>
          <cell r="L155"/>
        </row>
        <row r="156">
          <cell r="B156" t="str">
            <v>SQFMD-0730</v>
          </cell>
          <cell r="C156" t="str">
            <v>Md. Arif</v>
          </cell>
          <cell r="D156" t="str">
            <v>Mechanic</v>
          </cell>
          <cell r="E156" t="str">
            <v>Technical</v>
          </cell>
          <cell r="F156">
            <v>44977</v>
          </cell>
          <cell r="G156">
            <v>31</v>
          </cell>
          <cell r="H156">
            <v>0</v>
          </cell>
          <cell r="I156">
            <v>5</v>
          </cell>
          <cell r="J156">
            <v>2</v>
          </cell>
          <cell r="K156">
            <v>24</v>
          </cell>
          <cell r="L156"/>
        </row>
        <row r="157">
          <cell r="B157" t="str">
            <v>SQFMD-0731</v>
          </cell>
          <cell r="C157" t="str">
            <v>Syed Zamiul Haque</v>
          </cell>
          <cell r="D157" t="str">
            <v>TSO</v>
          </cell>
          <cell r="E157" t="str">
            <v>Seed</v>
          </cell>
          <cell r="F157">
            <v>44986</v>
          </cell>
          <cell r="G157">
            <v>31</v>
          </cell>
          <cell r="H157">
            <v>0</v>
          </cell>
          <cell r="I157">
            <v>5</v>
          </cell>
          <cell r="J157">
            <v>2</v>
          </cell>
          <cell r="K157">
            <v>24</v>
          </cell>
          <cell r="L157"/>
        </row>
        <row r="158">
          <cell r="B158" t="str">
            <v>SQFMD-0732</v>
          </cell>
          <cell r="C158" t="str">
            <v>Mohammad Sariful Islam</v>
          </cell>
          <cell r="D158" t="str">
            <v>ATM</v>
          </cell>
          <cell r="E158" t="str">
            <v>S&amp;M</v>
          </cell>
          <cell r="F158">
            <v>44990</v>
          </cell>
          <cell r="G158">
            <v>31</v>
          </cell>
          <cell r="H158">
            <v>8</v>
          </cell>
          <cell r="I158">
            <v>5</v>
          </cell>
          <cell r="J158">
            <v>2</v>
          </cell>
          <cell r="K158">
            <v>16</v>
          </cell>
          <cell r="L158"/>
        </row>
        <row r="159">
          <cell r="B159" t="str">
            <v>SQFMD-0734</v>
          </cell>
          <cell r="C159" t="str">
            <v>Md. Rashedul Islam Chowdhury</v>
          </cell>
          <cell r="D159" t="str">
            <v>STSO</v>
          </cell>
          <cell r="E159" t="str">
            <v>Seed</v>
          </cell>
          <cell r="F159">
            <v>45000</v>
          </cell>
          <cell r="G159">
            <v>31</v>
          </cell>
          <cell r="H159">
            <v>0</v>
          </cell>
          <cell r="I159">
            <v>5</v>
          </cell>
          <cell r="J159">
            <v>2</v>
          </cell>
          <cell r="K159">
            <v>24</v>
          </cell>
          <cell r="L159"/>
        </row>
        <row r="160">
          <cell r="B160" t="str">
            <v>SQFMD-0737</v>
          </cell>
          <cell r="C160" t="str">
            <v>Md. Nur Sayed</v>
          </cell>
          <cell r="D160" t="str">
            <v>Mechanic</v>
          </cell>
          <cell r="E160" t="str">
            <v>Technical</v>
          </cell>
          <cell r="F160">
            <v>45021</v>
          </cell>
          <cell r="G160">
            <v>31</v>
          </cell>
          <cell r="H160">
            <v>0</v>
          </cell>
          <cell r="I160">
            <v>5</v>
          </cell>
          <cell r="J160">
            <v>2</v>
          </cell>
          <cell r="K160">
            <v>24</v>
          </cell>
          <cell r="L160"/>
        </row>
        <row r="161">
          <cell r="B161" t="str">
            <v>SQFMD-0740</v>
          </cell>
          <cell r="C161" t="str">
            <v>Md. Hasanur Rahman</v>
          </cell>
          <cell r="D161" t="str">
            <v>Mechanic</v>
          </cell>
          <cell r="E161" t="str">
            <v>Technical</v>
          </cell>
          <cell r="F161">
            <v>45025</v>
          </cell>
          <cell r="G161">
            <v>31</v>
          </cell>
          <cell r="H161">
            <v>2</v>
          </cell>
          <cell r="I161">
            <v>5</v>
          </cell>
          <cell r="J161">
            <v>2</v>
          </cell>
          <cell r="K161">
            <v>22</v>
          </cell>
          <cell r="L161"/>
        </row>
        <row r="162">
          <cell r="B162" t="str">
            <v>SQFMD-0741</v>
          </cell>
          <cell r="C162" t="str">
            <v>Md. Raju Ahmed</v>
          </cell>
          <cell r="D162" t="str">
            <v>Mechanic</v>
          </cell>
          <cell r="E162" t="str">
            <v>Technical</v>
          </cell>
          <cell r="F162">
            <v>45024</v>
          </cell>
          <cell r="G162">
            <v>31</v>
          </cell>
          <cell r="H162">
            <v>0</v>
          </cell>
          <cell r="I162">
            <v>5</v>
          </cell>
          <cell r="J162">
            <v>2</v>
          </cell>
          <cell r="K162">
            <v>24</v>
          </cell>
          <cell r="L162"/>
        </row>
        <row r="163">
          <cell r="B163" t="str">
            <v>SQFMD-0742</v>
          </cell>
          <cell r="C163" t="str">
            <v>Md. Abdur Rahim</v>
          </cell>
          <cell r="D163" t="str">
            <v>Mechanic</v>
          </cell>
          <cell r="E163" t="str">
            <v>Technical</v>
          </cell>
          <cell r="F163">
            <v>45024</v>
          </cell>
          <cell r="G163">
            <v>31</v>
          </cell>
          <cell r="H163">
            <v>0</v>
          </cell>
          <cell r="I163">
            <v>5</v>
          </cell>
          <cell r="J163">
            <v>2</v>
          </cell>
          <cell r="K163">
            <v>24</v>
          </cell>
          <cell r="L163"/>
        </row>
        <row r="164">
          <cell r="B164" t="str">
            <v>SQFMD-0745</v>
          </cell>
          <cell r="C164" t="str">
            <v>Md. Habib Hasan</v>
          </cell>
          <cell r="D164" t="str">
            <v>Jr. Mechanic</v>
          </cell>
          <cell r="E164" t="str">
            <v>Technical</v>
          </cell>
          <cell r="F164">
            <v>45047</v>
          </cell>
          <cell r="G164">
            <v>31</v>
          </cell>
          <cell r="H164">
            <v>0</v>
          </cell>
          <cell r="I164">
            <v>5</v>
          </cell>
          <cell r="J164">
            <v>2</v>
          </cell>
          <cell r="K164">
            <v>24</v>
          </cell>
          <cell r="L164"/>
        </row>
        <row r="165">
          <cell r="B165" t="str">
            <v>SQFMD-0746</v>
          </cell>
          <cell r="C165" t="str">
            <v>Md. Kaiyum Babu</v>
          </cell>
          <cell r="D165" t="str">
            <v>Mechanic</v>
          </cell>
          <cell r="E165" t="str">
            <v>Technical</v>
          </cell>
          <cell r="F165">
            <v>45032</v>
          </cell>
          <cell r="G165">
            <v>31</v>
          </cell>
          <cell r="H165">
            <v>0</v>
          </cell>
          <cell r="I165">
            <v>5</v>
          </cell>
          <cell r="J165">
            <v>2</v>
          </cell>
          <cell r="K165">
            <v>24</v>
          </cell>
          <cell r="L165"/>
        </row>
        <row r="166">
          <cell r="B166" t="str">
            <v>SQFMD-0748</v>
          </cell>
          <cell r="C166" t="str">
            <v>Md. Niem Hosen</v>
          </cell>
          <cell r="D166" t="str">
            <v>Mechanic</v>
          </cell>
          <cell r="E166" t="str">
            <v>Technical</v>
          </cell>
          <cell r="F166">
            <v>45041</v>
          </cell>
          <cell r="G166">
            <v>31</v>
          </cell>
          <cell r="H166">
            <v>0</v>
          </cell>
          <cell r="I166">
            <v>5</v>
          </cell>
          <cell r="J166">
            <v>2</v>
          </cell>
          <cell r="K166">
            <v>24</v>
          </cell>
          <cell r="L166"/>
        </row>
        <row r="167">
          <cell r="B167" t="str">
            <v>SQFMD-0749</v>
          </cell>
          <cell r="C167" t="str">
            <v>Md Shahjahan Ali</v>
          </cell>
          <cell r="D167" t="str">
            <v>Sr. Territory Sales officer</v>
          </cell>
          <cell r="E167" t="str">
            <v>S&amp;M</v>
          </cell>
          <cell r="F167">
            <v>45042</v>
          </cell>
          <cell r="G167">
            <v>31</v>
          </cell>
          <cell r="H167">
            <v>0</v>
          </cell>
          <cell r="I167">
            <v>5</v>
          </cell>
          <cell r="J167">
            <v>2</v>
          </cell>
          <cell r="K167">
            <v>24</v>
          </cell>
          <cell r="L167"/>
        </row>
        <row r="168">
          <cell r="B168" t="str">
            <v>SQFMD-0750</v>
          </cell>
          <cell r="C168" t="str">
            <v>Md Balal Hossain</v>
          </cell>
          <cell r="D168" t="str">
            <v>Asst. Mechanic</v>
          </cell>
          <cell r="E168" t="str">
            <v>Technical</v>
          </cell>
          <cell r="F168">
            <v>45049</v>
          </cell>
          <cell r="G168">
            <v>31</v>
          </cell>
          <cell r="H168">
            <v>0</v>
          </cell>
          <cell r="I168">
            <v>5</v>
          </cell>
          <cell r="J168">
            <v>2</v>
          </cell>
          <cell r="K168">
            <v>24</v>
          </cell>
          <cell r="L168"/>
        </row>
        <row r="169">
          <cell r="B169" t="str">
            <v>SQFMD-0753</v>
          </cell>
          <cell r="C169" t="str">
            <v>Md. Shariful Islam</v>
          </cell>
          <cell r="D169" t="str">
            <v>STSO</v>
          </cell>
          <cell r="E169" t="str">
            <v>S&amp;M</v>
          </cell>
          <cell r="F169">
            <v>45048</v>
          </cell>
          <cell r="G169">
            <v>31</v>
          </cell>
          <cell r="H169">
            <v>0</v>
          </cell>
          <cell r="I169">
            <v>5</v>
          </cell>
          <cell r="J169">
            <v>2</v>
          </cell>
          <cell r="K169">
            <v>24</v>
          </cell>
          <cell r="L169"/>
        </row>
        <row r="170">
          <cell r="B170" t="str">
            <v>SQFMD-0754</v>
          </cell>
          <cell r="C170" t="str">
            <v>Md. Mehedi Hasan</v>
          </cell>
          <cell r="D170" t="str">
            <v>TSO</v>
          </cell>
          <cell r="E170" t="str">
            <v>S&amp;M</v>
          </cell>
          <cell r="F170">
            <v>45048</v>
          </cell>
          <cell r="G170">
            <v>31</v>
          </cell>
          <cell r="H170">
            <v>0</v>
          </cell>
          <cell r="I170">
            <v>5</v>
          </cell>
          <cell r="J170">
            <v>2</v>
          </cell>
          <cell r="K170">
            <v>24</v>
          </cell>
          <cell r="L170"/>
        </row>
        <row r="171">
          <cell r="B171" t="str">
            <v>SQFMD-0755</v>
          </cell>
          <cell r="C171" t="str">
            <v>Md Mustafa Kamal</v>
          </cell>
          <cell r="D171" t="str">
            <v>Territory Manager</v>
          </cell>
          <cell r="E171" t="str">
            <v>Seed</v>
          </cell>
          <cell r="F171">
            <v>45048</v>
          </cell>
          <cell r="G171">
            <v>31</v>
          </cell>
          <cell r="H171">
            <v>0</v>
          </cell>
          <cell r="I171">
            <v>5</v>
          </cell>
          <cell r="J171">
            <v>2</v>
          </cell>
          <cell r="K171">
            <v>24</v>
          </cell>
          <cell r="L171"/>
        </row>
        <row r="172">
          <cell r="B172" t="str">
            <v>SQFMD-0756</v>
          </cell>
          <cell r="C172" t="str">
            <v>Md Soyeb Mamud</v>
          </cell>
          <cell r="D172" t="str">
            <v>Store Officer</v>
          </cell>
          <cell r="E172" t="str">
            <v>Store &amp; Logistics</v>
          </cell>
          <cell r="F172">
            <v>45048</v>
          </cell>
          <cell r="G172">
            <v>31</v>
          </cell>
          <cell r="H172">
            <v>0</v>
          </cell>
          <cell r="I172">
            <v>5</v>
          </cell>
          <cell r="J172">
            <v>2</v>
          </cell>
          <cell r="K172">
            <v>24</v>
          </cell>
          <cell r="L172"/>
        </row>
        <row r="173">
          <cell r="B173" t="str">
            <v>SQFMD-0757</v>
          </cell>
          <cell r="C173" t="str">
            <v>Rashedul Islam</v>
          </cell>
          <cell r="D173" t="str">
            <v>Territory Manager</v>
          </cell>
          <cell r="E173" t="str">
            <v>Seed</v>
          </cell>
          <cell r="F173">
            <v>45048</v>
          </cell>
          <cell r="G173">
            <v>31</v>
          </cell>
          <cell r="H173">
            <v>0</v>
          </cell>
          <cell r="I173">
            <v>5</v>
          </cell>
          <cell r="J173">
            <v>2</v>
          </cell>
          <cell r="K173">
            <v>24</v>
          </cell>
          <cell r="L173"/>
        </row>
        <row r="174">
          <cell r="B174" t="str">
            <v>SQFMD-0758</v>
          </cell>
          <cell r="C174" t="str">
            <v>Md Rahem Mia</v>
          </cell>
          <cell r="D174" t="str">
            <v>STSO</v>
          </cell>
          <cell r="E174" t="str">
            <v>Seed</v>
          </cell>
          <cell r="F174">
            <v>45048</v>
          </cell>
          <cell r="G174">
            <v>31</v>
          </cell>
          <cell r="H174">
            <v>0</v>
          </cell>
          <cell r="I174">
            <v>5</v>
          </cell>
          <cell r="J174">
            <v>2</v>
          </cell>
          <cell r="K174">
            <v>24</v>
          </cell>
          <cell r="L174"/>
        </row>
        <row r="175">
          <cell r="B175" t="str">
            <v>SQFMD-0759</v>
          </cell>
          <cell r="C175" t="str">
            <v>Md Shuzon Rahman</v>
          </cell>
          <cell r="D175" t="str">
            <v>ARM</v>
          </cell>
          <cell r="E175" t="str">
            <v>S&amp;M</v>
          </cell>
          <cell r="F175">
            <v>45056</v>
          </cell>
          <cell r="G175">
            <v>31</v>
          </cell>
          <cell r="H175">
            <v>0</v>
          </cell>
          <cell r="I175">
            <v>5</v>
          </cell>
          <cell r="J175">
            <v>2</v>
          </cell>
          <cell r="K175">
            <v>24</v>
          </cell>
          <cell r="L175"/>
        </row>
        <row r="176">
          <cell r="B176" t="str">
            <v>SQFMD-0760</v>
          </cell>
          <cell r="C176" t="str">
            <v>B M Abul Hasnath</v>
          </cell>
          <cell r="D176" t="str">
            <v>ATM</v>
          </cell>
          <cell r="E176" t="str">
            <v>S&amp;M</v>
          </cell>
          <cell r="F176">
            <v>45052</v>
          </cell>
          <cell r="G176">
            <v>31</v>
          </cell>
          <cell r="H176">
            <v>0</v>
          </cell>
          <cell r="I176">
            <v>5</v>
          </cell>
          <cell r="J176">
            <v>2</v>
          </cell>
          <cell r="K176">
            <v>24</v>
          </cell>
          <cell r="L176"/>
        </row>
        <row r="177">
          <cell r="B177" t="str">
            <v>SQFMD-0762</v>
          </cell>
          <cell r="C177" t="str">
            <v>Md Moshiur Rahman</v>
          </cell>
          <cell r="D177" t="str">
            <v>Accounts Officer</v>
          </cell>
          <cell r="E177" t="str">
            <v>Finance &amp; Accounts</v>
          </cell>
          <cell r="F177">
            <v>45048</v>
          </cell>
          <cell r="G177">
            <v>31</v>
          </cell>
          <cell r="H177">
            <v>0</v>
          </cell>
          <cell r="I177">
            <v>5</v>
          </cell>
          <cell r="J177">
            <v>2</v>
          </cell>
          <cell r="K177">
            <v>24</v>
          </cell>
          <cell r="L177"/>
        </row>
        <row r="178">
          <cell r="B178" t="str">
            <v>SQFMD-0763</v>
          </cell>
          <cell r="C178" t="str">
            <v>Md. Kayum Hossain</v>
          </cell>
          <cell r="D178" t="str">
            <v>Sr. Mechanic</v>
          </cell>
          <cell r="E178" t="str">
            <v>Technical</v>
          </cell>
          <cell r="F178">
            <v>45053</v>
          </cell>
          <cell r="G178">
            <v>31</v>
          </cell>
          <cell r="H178">
            <v>7</v>
          </cell>
          <cell r="I178">
            <v>5</v>
          </cell>
          <cell r="J178">
            <v>2</v>
          </cell>
          <cell r="K178">
            <v>17</v>
          </cell>
          <cell r="L178"/>
        </row>
        <row r="179">
          <cell r="B179" t="str">
            <v>SQFMD-0764</v>
          </cell>
          <cell r="C179" t="str">
            <v>Md Mostafizur Rahman</v>
          </cell>
          <cell r="D179" t="str">
            <v>Deputy Manager</v>
          </cell>
          <cell r="E179" t="str">
            <v>Commercial &amp; SCM</v>
          </cell>
          <cell r="F179">
            <v>42444</v>
          </cell>
          <cell r="G179">
            <v>31</v>
          </cell>
          <cell r="H179">
            <v>1</v>
          </cell>
          <cell r="I179">
            <v>5</v>
          </cell>
          <cell r="J179">
            <v>2</v>
          </cell>
          <cell r="K179">
            <v>23</v>
          </cell>
          <cell r="L179"/>
        </row>
        <row r="180">
          <cell r="B180" t="str">
            <v>SQFMD-0765</v>
          </cell>
          <cell r="C180" t="str">
            <v>Uttom Devnath</v>
          </cell>
          <cell r="D180" t="str">
            <v>Mechanic</v>
          </cell>
          <cell r="E180" t="str">
            <v>Technical</v>
          </cell>
          <cell r="F180">
            <v>45054</v>
          </cell>
          <cell r="G180">
            <v>31</v>
          </cell>
          <cell r="H180">
            <v>0</v>
          </cell>
          <cell r="I180">
            <v>5</v>
          </cell>
          <cell r="J180">
            <v>2</v>
          </cell>
          <cell r="K180">
            <v>24</v>
          </cell>
          <cell r="L180"/>
        </row>
        <row r="181">
          <cell r="B181" t="str">
            <v>SQFMD-0766</v>
          </cell>
          <cell r="C181" t="str">
            <v>Md. Abdur Rahman Sagor</v>
          </cell>
          <cell r="D181" t="str">
            <v>Trainee Engineer</v>
          </cell>
          <cell r="E181" t="str">
            <v>Technical</v>
          </cell>
          <cell r="F181">
            <v>45061</v>
          </cell>
          <cell r="G181">
            <v>31</v>
          </cell>
          <cell r="H181">
            <v>1</v>
          </cell>
          <cell r="I181">
            <v>5</v>
          </cell>
          <cell r="J181">
            <v>2</v>
          </cell>
          <cell r="K181">
            <v>23</v>
          </cell>
          <cell r="L181"/>
        </row>
        <row r="182">
          <cell r="B182" t="str">
            <v>SQFMD-0767</v>
          </cell>
          <cell r="C182" t="str">
            <v>Md. Azizul Hakim</v>
          </cell>
          <cell r="D182" t="str">
            <v>Trainee Engineer</v>
          </cell>
          <cell r="E182" t="str">
            <v>Technical</v>
          </cell>
          <cell r="F182">
            <v>45061</v>
          </cell>
          <cell r="G182">
            <v>31</v>
          </cell>
          <cell r="H182">
            <v>0</v>
          </cell>
          <cell r="I182">
            <v>5</v>
          </cell>
          <cell r="J182">
            <v>2</v>
          </cell>
          <cell r="K182">
            <v>24</v>
          </cell>
          <cell r="L182"/>
        </row>
        <row r="183">
          <cell r="B183" t="str">
            <v>SQFMD-0768</v>
          </cell>
          <cell r="C183" t="str">
            <v>Md. Asaduzzaman</v>
          </cell>
          <cell r="D183" t="str">
            <v>Trainee Engineer</v>
          </cell>
          <cell r="E183" t="str">
            <v>Technical</v>
          </cell>
          <cell r="F183">
            <v>45061</v>
          </cell>
          <cell r="G183">
            <v>31</v>
          </cell>
          <cell r="H183">
            <v>1</v>
          </cell>
          <cell r="I183">
            <v>5</v>
          </cell>
          <cell r="J183">
            <v>2</v>
          </cell>
          <cell r="K183">
            <v>23</v>
          </cell>
          <cell r="L183"/>
        </row>
        <row r="184">
          <cell r="B184" t="str">
            <v>SQFMD-0769</v>
          </cell>
          <cell r="C184" t="str">
            <v>Yeasin Hossain Khan</v>
          </cell>
          <cell r="D184" t="str">
            <v>Accounts Officer (S&amp;P)</v>
          </cell>
          <cell r="E184" t="str">
            <v>Finance &amp; Accounts</v>
          </cell>
          <cell r="F184">
            <v>45061</v>
          </cell>
          <cell r="G184">
            <v>31</v>
          </cell>
          <cell r="H184">
            <v>7</v>
          </cell>
          <cell r="I184">
            <v>5</v>
          </cell>
          <cell r="J184">
            <v>2</v>
          </cell>
          <cell r="K184">
            <v>17</v>
          </cell>
          <cell r="L184"/>
        </row>
        <row r="185">
          <cell r="B185" t="str">
            <v>SQFMD-0771</v>
          </cell>
          <cell r="C185" t="str">
            <v>Md. Saddam Hosen</v>
          </cell>
          <cell r="D185" t="str">
            <v>Driver</v>
          </cell>
          <cell r="E185" t="str">
            <v>Transport</v>
          </cell>
          <cell r="F185">
            <v>45059</v>
          </cell>
          <cell r="G185">
            <v>31</v>
          </cell>
          <cell r="H185">
            <v>0</v>
          </cell>
          <cell r="I185">
            <v>5</v>
          </cell>
          <cell r="J185">
            <v>2</v>
          </cell>
          <cell r="K185">
            <v>24</v>
          </cell>
          <cell r="L185"/>
        </row>
        <row r="186">
          <cell r="B186" t="str">
            <v>SQFMD-0772</v>
          </cell>
          <cell r="C186" t="str">
            <v>Md. Nazim Uddin</v>
          </cell>
          <cell r="D186" t="str">
            <v>Driver</v>
          </cell>
          <cell r="E186" t="str">
            <v>Transport</v>
          </cell>
          <cell r="F186">
            <v>45054</v>
          </cell>
          <cell r="G186">
            <v>31</v>
          </cell>
          <cell r="H186">
            <v>0</v>
          </cell>
          <cell r="I186">
            <v>5</v>
          </cell>
          <cell r="J186">
            <v>2</v>
          </cell>
          <cell r="K186">
            <v>24</v>
          </cell>
          <cell r="L186"/>
        </row>
        <row r="187">
          <cell r="B187" t="str">
            <v>SQFMD-0773</v>
          </cell>
          <cell r="C187" t="str">
            <v>Md Masud Ahmmed</v>
          </cell>
          <cell r="D187" t="str">
            <v>Driver</v>
          </cell>
          <cell r="E187" t="str">
            <v>Transport</v>
          </cell>
          <cell r="F187">
            <v>45071</v>
          </cell>
          <cell r="G187">
            <v>31</v>
          </cell>
          <cell r="H187">
            <v>0</v>
          </cell>
          <cell r="I187">
            <v>5</v>
          </cell>
          <cell r="J187">
            <v>2</v>
          </cell>
          <cell r="K187">
            <v>24</v>
          </cell>
          <cell r="L187"/>
        </row>
        <row r="188">
          <cell r="B188" t="str">
            <v>SQFMD-0774</v>
          </cell>
          <cell r="C188" t="str">
            <v>Md Mizanur Rahman</v>
          </cell>
          <cell r="D188" t="str">
            <v>Assistant Manager</v>
          </cell>
          <cell r="E188" t="str">
            <v>Seed</v>
          </cell>
          <cell r="F188">
            <v>45078</v>
          </cell>
          <cell r="G188">
            <v>31</v>
          </cell>
          <cell r="H188">
            <v>2</v>
          </cell>
          <cell r="I188">
            <v>5</v>
          </cell>
          <cell r="J188">
            <v>2</v>
          </cell>
          <cell r="K188">
            <v>22</v>
          </cell>
          <cell r="L188"/>
        </row>
        <row r="189">
          <cell r="B189" t="str">
            <v>SQFMD-0775</v>
          </cell>
          <cell r="C189" t="str">
            <v>Md Tahmedur Rahman</v>
          </cell>
          <cell r="D189" t="str">
            <v>Asst. Mechanic</v>
          </cell>
          <cell r="E189" t="str">
            <v>Technical</v>
          </cell>
          <cell r="F189">
            <v>45078</v>
          </cell>
          <cell r="G189">
            <v>31</v>
          </cell>
          <cell r="H189">
            <v>0</v>
          </cell>
          <cell r="I189">
            <v>5</v>
          </cell>
          <cell r="J189">
            <v>2</v>
          </cell>
          <cell r="K189">
            <v>24</v>
          </cell>
          <cell r="L189"/>
        </row>
        <row r="190">
          <cell r="B190" t="str">
            <v>SQFMD-0776</v>
          </cell>
          <cell r="C190" t="str">
            <v>Md Rubel Molla</v>
          </cell>
          <cell r="D190" t="str">
            <v>Driver</v>
          </cell>
          <cell r="E190" t="str">
            <v>Transport</v>
          </cell>
          <cell r="F190">
            <v>45088</v>
          </cell>
          <cell r="G190">
            <v>31</v>
          </cell>
          <cell r="H190">
            <v>0</v>
          </cell>
          <cell r="I190">
            <v>5</v>
          </cell>
          <cell r="J190">
            <v>2</v>
          </cell>
          <cell r="K190">
            <v>24</v>
          </cell>
          <cell r="L190"/>
        </row>
        <row r="191">
          <cell r="B191" t="str">
            <v>SQFMD-0777</v>
          </cell>
          <cell r="C191" t="str">
            <v>Md Azabul Hossen</v>
          </cell>
          <cell r="D191" t="str">
            <v>TSO</v>
          </cell>
          <cell r="E191" t="str">
            <v>Seed</v>
          </cell>
          <cell r="F191">
            <v>45088</v>
          </cell>
          <cell r="G191">
            <v>31</v>
          </cell>
          <cell r="H191">
            <v>0</v>
          </cell>
          <cell r="I191">
            <v>5</v>
          </cell>
          <cell r="J191">
            <v>2</v>
          </cell>
          <cell r="K191">
            <v>24</v>
          </cell>
          <cell r="L191"/>
        </row>
        <row r="192">
          <cell r="B192" t="str">
            <v>SQFMD-0778</v>
          </cell>
          <cell r="C192" t="str">
            <v>Md Tajul Islam</v>
          </cell>
          <cell r="D192" t="str">
            <v>Territory Manager</v>
          </cell>
          <cell r="E192" t="str">
            <v>Seed</v>
          </cell>
          <cell r="F192">
            <v>45094</v>
          </cell>
          <cell r="G192">
            <v>31</v>
          </cell>
          <cell r="H192">
            <v>0</v>
          </cell>
          <cell r="I192">
            <v>5</v>
          </cell>
          <cell r="J192">
            <v>2</v>
          </cell>
          <cell r="K192">
            <v>24</v>
          </cell>
          <cell r="L192"/>
        </row>
        <row r="193">
          <cell r="B193" t="str">
            <v>SQFMD-0780</v>
          </cell>
          <cell r="C193" t="str">
            <v>Md. Mizanur Rahman Milon</v>
          </cell>
          <cell r="D193" t="str">
            <v>Night Gurd</v>
          </cell>
          <cell r="E193" t="str">
            <v>Seed</v>
          </cell>
          <cell r="F193">
            <v>45078</v>
          </cell>
          <cell r="G193">
            <v>31</v>
          </cell>
          <cell r="H193">
            <v>0</v>
          </cell>
          <cell r="I193">
            <v>5</v>
          </cell>
          <cell r="J193">
            <v>2</v>
          </cell>
          <cell r="K193">
            <v>24</v>
          </cell>
          <cell r="L193"/>
        </row>
        <row r="194">
          <cell r="B194" t="str">
            <v>SQFMD-0781</v>
          </cell>
          <cell r="C194" t="str">
            <v>Md Jakir Hossan</v>
          </cell>
          <cell r="D194" t="str">
            <v>Sr. Mechanic</v>
          </cell>
          <cell r="E194" t="str">
            <v>Technical</v>
          </cell>
          <cell r="F194">
            <v>45113</v>
          </cell>
          <cell r="G194">
            <v>31</v>
          </cell>
          <cell r="H194">
            <v>0</v>
          </cell>
          <cell r="I194">
            <v>5</v>
          </cell>
          <cell r="J194">
            <v>2</v>
          </cell>
          <cell r="K194">
            <v>24</v>
          </cell>
          <cell r="L194"/>
        </row>
        <row r="195">
          <cell r="B195" t="str">
            <v>SQFMD-0782</v>
          </cell>
          <cell r="C195" t="str">
            <v>Md Akhtarul Alam</v>
          </cell>
          <cell r="D195" t="str">
            <v>AGM</v>
          </cell>
          <cell r="E195" t="str">
            <v>S&amp;M</v>
          </cell>
          <cell r="F195">
            <v>45112</v>
          </cell>
          <cell r="G195">
            <v>31</v>
          </cell>
          <cell r="H195">
            <v>0</v>
          </cell>
          <cell r="I195">
            <v>5</v>
          </cell>
          <cell r="J195">
            <v>2</v>
          </cell>
          <cell r="K195">
            <v>24</v>
          </cell>
          <cell r="L195"/>
        </row>
        <row r="196">
          <cell r="B196" t="str">
            <v>SQFMD-0783</v>
          </cell>
          <cell r="C196" t="str">
            <v>Nayem Iqbal</v>
          </cell>
          <cell r="D196" t="str">
            <v>Accounts Officer</v>
          </cell>
          <cell r="E196" t="str">
            <v>Finance &amp; Accounts</v>
          </cell>
          <cell r="F196">
            <v>45122</v>
          </cell>
          <cell r="G196">
            <v>31</v>
          </cell>
          <cell r="H196">
            <v>0</v>
          </cell>
          <cell r="I196">
            <v>5</v>
          </cell>
          <cell r="J196">
            <v>2</v>
          </cell>
          <cell r="K196">
            <v>24</v>
          </cell>
          <cell r="L196"/>
        </row>
        <row r="197">
          <cell r="B197" t="str">
            <v>SQFMD-0785</v>
          </cell>
          <cell r="C197" t="str">
            <v>Md Sultan Mia</v>
          </cell>
          <cell r="D197" t="str">
            <v>Office Assistant</v>
          </cell>
          <cell r="E197" t="str">
            <v>Seed</v>
          </cell>
          <cell r="F197">
            <v>45139</v>
          </cell>
          <cell r="G197">
            <v>31</v>
          </cell>
          <cell r="H197">
            <v>0</v>
          </cell>
          <cell r="I197">
            <v>5</v>
          </cell>
          <cell r="J197">
            <v>2</v>
          </cell>
          <cell r="K197">
            <v>24</v>
          </cell>
          <cell r="L197"/>
        </row>
        <row r="198">
          <cell r="B198" t="str">
            <v>SQFMD-0786</v>
          </cell>
          <cell r="C198" t="str">
            <v>Md Mazbahol Haque</v>
          </cell>
          <cell r="D198" t="str">
            <v>Territory Manager</v>
          </cell>
          <cell r="E198" t="str">
            <v>Seed</v>
          </cell>
          <cell r="F198">
            <v>45139</v>
          </cell>
          <cell r="G198">
            <v>31</v>
          </cell>
          <cell r="H198">
            <v>0</v>
          </cell>
          <cell r="I198">
            <v>5</v>
          </cell>
          <cell r="J198">
            <v>2</v>
          </cell>
          <cell r="K198">
            <v>24</v>
          </cell>
          <cell r="L198"/>
        </row>
        <row r="199">
          <cell r="B199" t="str">
            <v>SQFMD-0788</v>
          </cell>
          <cell r="C199" t="str">
            <v>Md Shamim Hossain</v>
          </cell>
          <cell r="D199" t="str">
            <v>Cleaner</v>
          </cell>
          <cell r="E199" t="str">
            <v>Admin</v>
          </cell>
          <cell r="F199">
            <v>44958</v>
          </cell>
          <cell r="G199">
            <v>31</v>
          </cell>
          <cell r="H199">
            <v>0</v>
          </cell>
          <cell r="I199">
            <v>5</v>
          </cell>
          <cell r="J199">
            <v>2</v>
          </cell>
          <cell r="K199">
            <v>24</v>
          </cell>
          <cell r="L199"/>
        </row>
        <row r="200">
          <cell r="B200" t="str">
            <v>SQFMD-0789</v>
          </cell>
          <cell r="C200" t="str">
            <v>Mohammad Nawshad Ali</v>
          </cell>
          <cell r="D200" t="str">
            <v>Accounts Officer</v>
          </cell>
          <cell r="E200" t="str">
            <v>Finance &amp; Accounts</v>
          </cell>
          <cell r="F200">
            <v>45154</v>
          </cell>
          <cell r="G200">
            <v>31</v>
          </cell>
          <cell r="H200">
            <v>0</v>
          </cell>
          <cell r="I200">
            <v>5</v>
          </cell>
          <cell r="J200">
            <v>2</v>
          </cell>
          <cell r="K200">
            <v>24</v>
          </cell>
          <cell r="L200"/>
        </row>
        <row r="201">
          <cell r="B201" t="str">
            <v>SQFMD-0791</v>
          </cell>
          <cell r="C201" t="str">
            <v>Md Rashidul Islam</v>
          </cell>
          <cell r="D201" t="str">
            <v>Mechanic</v>
          </cell>
          <cell r="E201" t="str">
            <v>Technical</v>
          </cell>
          <cell r="F201">
            <v>45150</v>
          </cell>
          <cell r="G201">
            <v>31</v>
          </cell>
          <cell r="H201">
            <v>0</v>
          </cell>
          <cell r="I201">
            <v>5</v>
          </cell>
          <cell r="J201">
            <v>2</v>
          </cell>
          <cell r="K201">
            <v>24</v>
          </cell>
          <cell r="L201"/>
        </row>
        <row r="202">
          <cell r="B202" t="str">
            <v>SQFMD-0797</v>
          </cell>
          <cell r="C202" t="str">
            <v>Bishojit Paul</v>
          </cell>
          <cell r="D202" t="str">
            <v>STSO</v>
          </cell>
          <cell r="E202" t="str">
            <v>S&amp;M</v>
          </cell>
          <cell r="F202">
            <v>45159</v>
          </cell>
          <cell r="G202">
            <v>31</v>
          </cell>
          <cell r="H202">
            <v>0</v>
          </cell>
          <cell r="I202">
            <v>5</v>
          </cell>
          <cell r="J202">
            <v>2</v>
          </cell>
          <cell r="K202">
            <v>24</v>
          </cell>
          <cell r="L202"/>
        </row>
        <row r="203">
          <cell r="B203" t="str">
            <v>SQFMD-0798</v>
          </cell>
          <cell r="C203" t="str">
            <v>Md Sobuj Mondal</v>
          </cell>
          <cell r="D203" t="str">
            <v>Sr. Mechanic</v>
          </cell>
          <cell r="E203" t="str">
            <v>Technical</v>
          </cell>
          <cell r="F203">
            <v>45155</v>
          </cell>
          <cell r="G203">
            <v>31</v>
          </cell>
          <cell r="H203">
            <v>0</v>
          </cell>
          <cell r="I203">
            <v>5</v>
          </cell>
          <cell r="J203">
            <v>2</v>
          </cell>
          <cell r="K203">
            <v>24</v>
          </cell>
          <cell r="L203"/>
        </row>
        <row r="204">
          <cell r="B204" t="str">
            <v>SQFMD-0800</v>
          </cell>
          <cell r="C204" t="str">
            <v>Byron Sarkar</v>
          </cell>
          <cell r="D204" t="str">
            <v>Mechanic</v>
          </cell>
          <cell r="E204" t="str">
            <v>Technical</v>
          </cell>
          <cell r="F204">
            <v>45157</v>
          </cell>
          <cell r="G204">
            <v>31</v>
          </cell>
          <cell r="H204">
            <v>2</v>
          </cell>
          <cell r="I204">
            <v>5</v>
          </cell>
          <cell r="J204">
            <v>2</v>
          </cell>
          <cell r="K204">
            <v>22</v>
          </cell>
          <cell r="L204"/>
        </row>
        <row r="205">
          <cell r="B205" t="str">
            <v>SQFMD-0802</v>
          </cell>
          <cell r="C205" t="str">
            <v>Modhu Sudhan Dev Sharma</v>
          </cell>
          <cell r="D205" t="str">
            <v>Mechanic</v>
          </cell>
          <cell r="E205" t="str">
            <v>Technical</v>
          </cell>
          <cell r="F205">
            <v>45160</v>
          </cell>
          <cell r="G205">
            <v>31</v>
          </cell>
          <cell r="H205">
            <v>0</v>
          </cell>
          <cell r="I205">
            <v>5</v>
          </cell>
          <cell r="J205">
            <v>2</v>
          </cell>
          <cell r="K205">
            <v>24</v>
          </cell>
          <cell r="L205"/>
        </row>
        <row r="206">
          <cell r="B206" t="str">
            <v>SQFMD-0803</v>
          </cell>
          <cell r="C206" t="str">
            <v>Md Rumman Shaikh</v>
          </cell>
          <cell r="D206" t="str">
            <v>Zonal Manager</v>
          </cell>
          <cell r="E206" t="str">
            <v>S&amp;M</v>
          </cell>
          <cell r="F206">
            <v>45171</v>
          </cell>
          <cell r="G206">
            <v>31</v>
          </cell>
          <cell r="H206">
            <v>0</v>
          </cell>
          <cell r="I206">
            <v>5</v>
          </cell>
          <cell r="J206">
            <v>2</v>
          </cell>
          <cell r="K206">
            <v>24</v>
          </cell>
          <cell r="L206"/>
        </row>
        <row r="207">
          <cell r="B207" t="str">
            <v>SQFMD-0804</v>
          </cell>
          <cell r="C207" t="str">
            <v>Md Liaqueat Ali</v>
          </cell>
          <cell r="D207" t="str">
            <v>Zonal Manager</v>
          </cell>
          <cell r="E207" t="str">
            <v>S&amp;M</v>
          </cell>
          <cell r="F207">
            <v>45171</v>
          </cell>
          <cell r="G207">
            <v>31</v>
          </cell>
          <cell r="H207">
            <v>0</v>
          </cell>
          <cell r="I207">
            <v>5</v>
          </cell>
          <cell r="J207">
            <v>2</v>
          </cell>
          <cell r="K207">
            <v>24</v>
          </cell>
          <cell r="L207"/>
        </row>
        <row r="208">
          <cell r="B208" t="str">
            <v>SQFMD-0805</v>
          </cell>
          <cell r="C208" t="str">
            <v>Tahmid Hasan Rakib</v>
          </cell>
          <cell r="D208" t="str">
            <v>Jr. Executive</v>
          </cell>
          <cell r="E208" t="str">
            <v>Audit &amp; Monitoring</v>
          </cell>
          <cell r="F208">
            <v>45171</v>
          </cell>
          <cell r="G208">
            <v>31</v>
          </cell>
          <cell r="H208">
            <v>0</v>
          </cell>
          <cell r="I208">
            <v>5</v>
          </cell>
          <cell r="J208">
            <v>2</v>
          </cell>
          <cell r="K208">
            <v>24</v>
          </cell>
          <cell r="L208"/>
        </row>
        <row r="209">
          <cell r="B209" t="str">
            <v>SQFMD-0806</v>
          </cell>
          <cell r="C209" t="str">
            <v>Md Adib Daiyan</v>
          </cell>
          <cell r="D209" t="str">
            <v>Sr. Executive</v>
          </cell>
          <cell r="E209" t="str">
            <v>Audit &amp; Monitoring</v>
          </cell>
          <cell r="F209">
            <v>45171</v>
          </cell>
          <cell r="G209">
            <v>31</v>
          </cell>
          <cell r="H209">
            <v>0</v>
          </cell>
          <cell r="I209">
            <v>5</v>
          </cell>
          <cell r="J209">
            <v>2</v>
          </cell>
          <cell r="K209">
            <v>24</v>
          </cell>
          <cell r="L209">
            <v>2</v>
          </cell>
        </row>
        <row r="210">
          <cell r="B210" t="str">
            <v>SQFMD-0807</v>
          </cell>
          <cell r="C210" t="str">
            <v>CAHM Enayetullah</v>
          </cell>
          <cell r="D210" t="str">
            <v>Consultant</v>
          </cell>
          <cell r="E210" t="str">
            <v>Finance &amp; Accounts</v>
          </cell>
          <cell r="F210">
            <v>45171</v>
          </cell>
          <cell r="G210">
            <v>31</v>
          </cell>
          <cell r="H210">
            <v>0</v>
          </cell>
          <cell r="I210">
            <v>5</v>
          </cell>
          <cell r="J210">
            <v>2</v>
          </cell>
          <cell r="K210">
            <v>24</v>
          </cell>
          <cell r="L210"/>
        </row>
        <row r="211">
          <cell r="B211" t="str">
            <v>SQFMD-0808</v>
          </cell>
          <cell r="C211" t="str">
            <v>Hiru Miah</v>
          </cell>
          <cell r="D211" t="str">
            <v>Sr. Territory Sales officer</v>
          </cell>
          <cell r="E211" t="str">
            <v>S&amp;M</v>
          </cell>
          <cell r="F211">
            <v>45171</v>
          </cell>
          <cell r="G211">
            <v>31</v>
          </cell>
          <cell r="H211">
            <v>0</v>
          </cell>
          <cell r="I211">
            <v>5</v>
          </cell>
          <cell r="J211">
            <v>2</v>
          </cell>
          <cell r="K211">
            <v>24</v>
          </cell>
          <cell r="L211"/>
        </row>
        <row r="212">
          <cell r="B212" t="str">
            <v>SQFMD-0809</v>
          </cell>
          <cell r="C212" t="str">
            <v>Md Alamin</v>
          </cell>
          <cell r="D212" t="str">
            <v>Sr. Territory Sales officer</v>
          </cell>
          <cell r="E212" t="str">
            <v>S&amp;M</v>
          </cell>
          <cell r="F212">
            <v>45171</v>
          </cell>
          <cell r="G212">
            <v>31</v>
          </cell>
          <cell r="H212">
            <v>0</v>
          </cell>
          <cell r="I212">
            <v>5</v>
          </cell>
          <cell r="J212">
            <v>2</v>
          </cell>
          <cell r="K212">
            <v>24</v>
          </cell>
          <cell r="L212"/>
        </row>
        <row r="213">
          <cell r="B213" t="str">
            <v>SQFMD-0810</v>
          </cell>
          <cell r="C213" t="str">
            <v>Ripon Das</v>
          </cell>
          <cell r="D213" t="str">
            <v>Sr. Territory Sales officer</v>
          </cell>
          <cell r="E213" t="str">
            <v>S&amp;M</v>
          </cell>
          <cell r="F213">
            <v>45171</v>
          </cell>
          <cell r="G213">
            <v>31</v>
          </cell>
          <cell r="H213">
            <v>0</v>
          </cell>
          <cell r="I213">
            <v>5</v>
          </cell>
          <cell r="J213">
            <v>2</v>
          </cell>
          <cell r="K213">
            <v>24</v>
          </cell>
          <cell r="L213"/>
        </row>
        <row r="214">
          <cell r="B214" t="str">
            <v>SQFMD-0811</v>
          </cell>
          <cell r="C214" t="str">
            <v>Md Kamrul Hasan</v>
          </cell>
          <cell r="D214" t="str">
            <v>Sr. Territory Sales officer</v>
          </cell>
          <cell r="E214" t="str">
            <v>S&amp;M</v>
          </cell>
          <cell r="F214">
            <v>45171</v>
          </cell>
          <cell r="G214">
            <v>31</v>
          </cell>
          <cell r="H214">
            <v>3</v>
          </cell>
          <cell r="I214">
            <v>5</v>
          </cell>
          <cell r="J214">
            <v>2</v>
          </cell>
          <cell r="K214">
            <v>21</v>
          </cell>
          <cell r="L214"/>
        </row>
        <row r="215">
          <cell r="B215" t="str">
            <v>SQFMD-0812</v>
          </cell>
          <cell r="C215" t="str">
            <v>Md Noor Islam</v>
          </cell>
          <cell r="D215" t="str">
            <v>Sr. Territory Sales officer</v>
          </cell>
          <cell r="E215" t="str">
            <v>S&amp;M</v>
          </cell>
          <cell r="F215">
            <v>45171</v>
          </cell>
          <cell r="G215">
            <v>31</v>
          </cell>
          <cell r="H215">
            <v>0</v>
          </cell>
          <cell r="I215">
            <v>5</v>
          </cell>
          <cell r="J215">
            <v>2</v>
          </cell>
          <cell r="K215">
            <v>24</v>
          </cell>
          <cell r="L215"/>
        </row>
        <row r="216">
          <cell r="B216" t="str">
            <v>SQFMD-0813</v>
          </cell>
          <cell r="C216" t="str">
            <v>Md Rakibul Hasan</v>
          </cell>
          <cell r="D216" t="str">
            <v>Sr. Territory Sales officer</v>
          </cell>
          <cell r="E216" t="str">
            <v>S&amp;M</v>
          </cell>
          <cell r="F216">
            <v>45171</v>
          </cell>
          <cell r="G216">
            <v>31</v>
          </cell>
          <cell r="H216">
            <v>0</v>
          </cell>
          <cell r="I216">
            <v>5</v>
          </cell>
          <cell r="J216">
            <v>2</v>
          </cell>
          <cell r="K216">
            <v>24</v>
          </cell>
          <cell r="L216"/>
        </row>
        <row r="217">
          <cell r="B217" t="str">
            <v>SQFMD-0817</v>
          </cell>
          <cell r="C217" t="str">
            <v>Md Rabbi Hossain</v>
          </cell>
          <cell r="D217" t="str">
            <v>Mechanic</v>
          </cell>
          <cell r="E217" t="str">
            <v>Technical</v>
          </cell>
          <cell r="F217">
            <v>45181</v>
          </cell>
          <cell r="G217">
            <v>31</v>
          </cell>
          <cell r="H217">
            <v>0</v>
          </cell>
          <cell r="I217">
            <v>5</v>
          </cell>
          <cell r="J217">
            <v>2</v>
          </cell>
          <cell r="K217">
            <v>24</v>
          </cell>
          <cell r="L217"/>
        </row>
        <row r="218">
          <cell r="B218" t="str">
            <v>SQFMD-0818</v>
          </cell>
          <cell r="C218" t="str">
            <v>AKM Asif Iqbal</v>
          </cell>
          <cell r="D218" t="str">
            <v>Territory Manger</v>
          </cell>
          <cell r="E218" t="str">
            <v>S&amp;M</v>
          </cell>
          <cell r="F218">
            <v>45183</v>
          </cell>
          <cell r="G218">
            <v>31</v>
          </cell>
          <cell r="H218">
            <v>0</v>
          </cell>
          <cell r="I218">
            <v>5</v>
          </cell>
          <cell r="J218">
            <v>2</v>
          </cell>
          <cell r="K218">
            <v>24</v>
          </cell>
          <cell r="L218"/>
        </row>
        <row r="219">
          <cell r="B219" t="str">
            <v>SQFMD-0819</v>
          </cell>
          <cell r="C219" t="str">
            <v>Md Abdul Mazed Mondal</v>
          </cell>
          <cell r="D219" t="str">
            <v>Sr. Territory Sales officer</v>
          </cell>
          <cell r="E219" t="str">
            <v>S&amp;M</v>
          </cell>
          <cell r="F219">
            <v>45183</v>
          </cell>
          <cell r="G219">
            <v>31</v>
          </cell>
          <cell r="H219">
            <v>0</v>
          </cell>
          <cell r="I219">
            <v>5</v>
          </cell>
          <cell r="J219">
            <v>2</v>
          </cell>
          <cell r="K219">
            <v>24</v>
          </cell>
          <cell r="L219"/>
        </row>
        <row r="220">
          <cell r="B220" t="str">
            <v>SQFMD-0820</v>
          </cell>
          <cell r="C220" t="str">
            <v>Md Monir Hossain</v>
          </cell>
          <cell r="D220" t="str">
            <v>Mechanic</v>
          </cell>
          <cell r="E220" t="str">
            <v>Technical</v>
          </cell>
          <cell r="F220">
            <v>45183</v>
          </cell>
          <cell r="G220">
            <v>31</v>
          </cell>
          <cell r="H220">
            <v>0</v>
          </cell>
          <cell r="I220">
            <v>5</v>
          </cell>
          <cell r="J220">
            <v>2</v>
          </cell>
          <cell r="K220">
            <v>24</v>
          </cell>
          <cell r="L220"/>
        </row>
        <row r="221">
          <cell r="B221" t="str">
            <v>SQFMD-0822</v>
          </cell>
          <cell r="C221" t="str">
            <v>Md Muradul Momin Murad</v>
          </cell>
          <cell r="D221" t="str">
            <v>Sr. Territory Sales officer</v>
          </cell>
          <cell r="E221" t="str">
            <v>Seed</v>
          </cell>
          <cell r="F221">
            <v>45185</v>
          </cell>
          <cell r="G221">
            <v>31</v>
          </cell>
          <cell r="H221">
            <v>0</v>
          </cell>
          <cell r="I221">
            <v>5</v>
          </cell>
          <cell r="J221">
            <v>2</v>
          </cell>
          <cell r="K221">
            <v>24</v>
          </cell>
          <cell r="L221"/>
        </row>
        <row r="222">
          <cell r="B222" t="str">
            <v>SQFMD-0823</v>
          </cell>
          <cell r="C222" t="str">
            <v>Babul Miah</v>
          </cell>
          <cell r="D222" t="str">
            <v>Mechanic</v>
          </cell>
          <cell r="E222" t="str">
            <v>Technical</v>
          </cell>
          <cell r="F222">
            <v>45185</v>
          </cell>
          <cell r="G222">
            <v>31</v>
          </cell>
          <cell r="H222">
            <v>0</v>
          </cell>
          <cell r="I222">
            <v>5</v>
          </cell>
          <cell r="J222">
            <v>2</v>
          </cell>
          <cell r="K222">
            <v>24</v>
          </cell>
          <cell r="L222"/>
        </row>
        <row r="223">
          <cell r="B223" t="str">
            <v>SQFMD-0825</v>
          </cell>
          <cell r="C223" t="str">
            <v>Md Raihan Hossain</v>
          </cell>
          <cell r="D223" t="str">
            <v>Mechanic</v>
          </cell>
          <cell r="E223" t="str">
            <v>Technical</v>
          </cell>
          <cell r="F223">
            <v>45185</v>
          </cell>
          <cell r="G223">
            <v>31</v>
          </cell>
          <cell r="H223">
            <v>0</v>
          </cell>
          <cell r="I223">
            <v>5</v>
          </cell>
          <cell r="J223">
            <v>2</v>
          </cell>
          <cell r="K223">
            <v>24</v>
          </cell>
          <cell r="L223"/>
        </row>
        <row r="224">
          <cell r="B224" t="str">
            <v>SQFMD-0826</v>
          </cell>
          <cell r="C224" t="str">
            <v>Md Alif</v>
          </cell>
          <cell r="D224" t="str">
            <v>Mechanic</v>
          </cell>
          <cell r="E224" t="str">
            <v>Technical</v>
          </cell>
          <cell r="F224">
            <v>45185</v>
          </cell>
          <cell r="G224">
            <v>31</v>
          </cell>
          <cell r="H224">
            <v>0</v>
          </cell>
          <cell r="I224">
            <v>5</v>
          </cell>
          <cell r="J224">
            <v>2</v>
          </cell>
          <cell r="K224">
            <v>24</v>
          </cell>
          <cell r="L224">
            <v>6</v>
          </cell>
        </row>
        <row r="225">
          <cell r="B225" t="str">
            <v>SQFMD-0827</v>
          </cell>
          <cell r="C225" t="str">
            <v>Hamza Masud</v>
          </cell>
          <cell r="D225" t="str">
            <v>Mechanic</v>
          </cell>
          <cell r="E225" t="str">
            <v>Technical</v>
          </cell>
          <cell r="F225">
            <v>45185</v>
          </cell>
          <cell r="G225">
            <v>31</v>
          </cell>
          <cell r="H225">
            <v>7</v>
          </cell>
          <cell r="I225">
            <v>5</v>
          </cell>
          <cell r="J225">
            <v>2</v>
          </cell>
          <cell r="K225">
            <v>17</v>
          </cell>
          <cell r="L225"/>
        </row>
        <row r="226">
          <cell r="B226" t="str">
            <v>SQFMD-0828</v>
          </cell>
          <cell r="C226" t="str">
            <v>Md Sayful Alam</v>
          </cell>
          <cell r="D226" t="str">
            <v>Driver</v>
          </cell>
          <cell r="E226" t="str">
            <v>Transport</v>
          </cell>
          <cell r="F226">
            <v>45193</v>
          </cell>
          <cell r="G226">
            <v>31</v>
          </cell>
          <cell r="H226">
            <v>0</v>
          </cell>
          <cell r="I226">
            <v>5</v>
          </cell>
          <cell r="J226">
            <v>2</v>
          </cell>
          <cell r="K226">
            <v>24</v>
          </cell>
          <cell r="L226"/>
        </row>
        <row r="227">
          <cell r="B227" t="str">
            <v>SQFMD-0829</v>
          </cell>
          <cell r="C227" t="str">
            <v>Rasel Mollah</v>
          </cell>
          <cell r="D227" t="str">
            <v>Territory Manager</v>
          </cell>
          <cell r="E227" t="str">
            <v>S&amp;M</v>
          </cell>
          <cell r="F227">
            <v>45192</v>
          </cell>
          <cell r="G227">
            <v>31</v>
          </cell>
          <cell r="H227">
            <v>0</v>
          </cell>
          <cell r="I227">
            <v>5</v>
          </cell>
          <cell r="J227">
            <v>2</v>
          </cell>
          <cell r="K227">
            <v>24</v>
          </cell>
          <cell r="L227"/>
        </row>
        <row r="228">
          <cell r="B228" t="str">
            <v>SQFMD-0831</v>
          </cell>
          <cell r="C228" t="str">
            <v>Md Abdus Muntakimu Islam</v>
          </cell>
          <cell r="D228" t="str">
            <v>Sr. Territory Sales Officer</v>
          </cell>
          <cell r="E228" t="str">
            <v>S&amp;M</v>
          </cell>
          <cell r="F228">
            <v>45194</v>
          </cell>
          <cell r="G228">
            <v>31</v>
          </cell>
          <cell r="H228">
            <v>0</v>
          </cell>
          <cell r="I228">
            <v>5</v>
          </cell>
          <cell r="J228">
            <v>2</v>
          </cell>
          <cell r="K228">
            <v>24</v>
          </cell>
          <cell r="L228"/>
        </row>
        <row r="229">
          <cell r="B229" t="str">
            <v>SQFMD-0832</v>
          </cell>
          <cell r="C229" t="str">
            <v>Md Hasnatul Alam</v>
          </cell>
          <cell r="D229" t="str">
            <v>Territory Manager</v>
          </cell>
          <cell r="E229" t="str">
            <v>S&amp;M</v>
          </cell>
          <cell r="F229">
            <v>45206</v>
          </cell>
          <cell r="G229">
            <v>31</v>
          </cell>
          <cell r="H229">
            <v>0</v>
          </cell>
          <cell r="I229">
            <v>5</v>
          </cell>
          <cell r="J229">
            <v>2</v>
          </cell>
          <cell r="K229">
            <v>24</v>
          </cell>
          <cell r="L229"/>
        </row>
        <row r="230">
          <cell r="B230" t="str">
            <v>SQFMD-0834</v>
          </cell>
          <cell r="C230" t="str">
            <v>Manuel Halder</v>
          </cell>
          <cell r="D230" t="str">
            <v>Territory Manager</v>
          </cell>
          <cell r="E230" t="str">
            <v>S&amp;M</v>
          </cell>
          <cell r="F230">
            <v>45199</v>
          </cell>
          <cell r="G230">
            <v>31</v>
          </cell>
          <cell r="H230">
            <v>0</v>
          </cell>
          <cell r="I230">
            <v>5</v>
          </cell>
          <cell r="J230">
            <v>2</v>
          </cell>
          <cell r="K230">
            <v>24</v>
          </cell>
          <cell r="L230"/>
        </row>
        <row r="231">
          <cell r="B231" t="str">
            <v>SQFMD-0835</v>
          </cell>
          <cell r="C231" t="str">
            <v>Md Nishad Hossain</v>
          </cell>
          <cell r="D231" t="str">
            <v>Mechanic</v>
          </cell>
          <cell r="E231" t="str">
            <v>Technical</v>
          </cell>
          <cell r="F231">
            <v>45197</v>
          </cell>
          <cell r="G231">
            <v>31</v>
          </cell>
          <cell r="H231">
            <v>0</v>
          </cell>
          <cell r="I231">
            <v>5</v>
          </cell>
          <cell r="J231">
            <v>2</v>
          </cell>
          <cell r="K231">
            <v>24</v>
          </cell>
          <cell r="L231"/>
        </row>
        <row r="232">
          <cell r="B232" t="str">
            <v>SQFMD-0836</v>
          </cell>
          <cell r="C232" t="str">
            <v>Md Ashraful Islam</v>
          </cell>
          <cell r="D232" t="str">
            <v>Sr. Territory Sales Officer</v>
          </cell>
          <cell r="E232" t="str">
            <v>S&amp;M</v>
          </cell>
          <cell r="F232">
            <v>45213</v>
          </cell>
          <cell r="G232">
            <v>31</v>
          </cell>
          <cell r="H232">
            <v>0</v>
          </cell>
          <cell r="I232">
            <v>5</v>
          </cell>
          <cell r="J232">
            <v>2</v>
          </cell>
          <cell r="K232">
            <v>24</v>
          </cell>
          <cell r="L232"/>
        </row>
        <row r="233">
          <cell r="B233" t="str">
            <v>SQFMD-0837</v>
          </cell>
          <cell r="C233" t="str">
            <v>Md Rashedul Islam</v>
          </cell>
          <cell r="D233" t="str">
            <v>Office Executive</v>
          </cell>
          <cell r="E233" t="str">
            <v>Store &amp; Logistics</v>
          </cell>
          <cell r="F233">
            <v>45206</v>
          </cell>
          <cell r="G233">
            <v>31</v>
          </cell>
          <cell r="H233">
            <v>1</v>
          </cell>
          <cell r="I233">
            <v>5</v>
          </cell>
          <cell r="J233">
            <v>2</v>
          </cell>
          <cell r="K233">
            <v>23</v>
          </cell>
          <cell r="L233"/>
        </row>
        <row r="234">
          <cell r="B234" t="str">
            <v>SQFMD-0840</v>
          </cell>
          <cell r="C234" t="str">
            <v>Polash Chandro Roy</v>
          </cell>
          <cell r="D234" t="str">
            <v>Mechanic</v>
          </cell>
          <cell r="E234" t="str">
            <v>Technical</v>
          </cell>
          <cell r="F234">
            <v>45216</v>
          </cell>
          <cell r="G234">
            <v>31</v>
          </cell>
          <cell r="H234">
            <v>0</v>
          </cell>
          <cell r="I234">
            <v>5</v>
          </cell>
          <cell r="J234">
            <v>2</v>
          </cell>
          <cell r="K234">
            <v>24</v>
          </cell>
          <cell r="L234"/>
        </row>
        <row r="235">
          <cell r="B235" t="str">
            <v>SQFMD-0841</v>
          </cell>
          <cell r="C235" t="str">
            <v>Md Harun Ur Rosud</v>
          </cell>
          <cell r="D235" t="str">
            <v>Mechanic</v>
          </cell>
          <cell r="E235" t="str">
            <v>Technical</v>
          </cell>
          <cell r="F235">
            <v>45213</v>
          </cell>
          <cell r="G235">
            <v>31</v>
          </cell>
          <cell r="H235">
            <v>0</v>
          </cell>
          <cell r="I235">
            <v>5</v>
          </cell>
          <cell r="J235">
            <v>2</v>
          </cell>
          <cell r="K235">
            <v>24</v>
          </cell>
          <cell r="L235"/>
        </row>
        <row r="236">
          <cell r="B236" t="str">
            <v>SQFMD-0842</v>
          </cell>
          <cell r="C236" t="str">
            <v>Md Abdul Barek</v>
          </cell>
          <cell r="D236" t="str">
            <v>Mechanic</v>
          </cell>
          <cell r="E236" t="str">
            <v>Technical</v>
          </cell>
          <cell r="F236">
            <v>45213</v>
          </cell>
          <cell r="G236">
            <v>31</v>
          </cell>
          <cell r="H236">
            <v>0</v>
          </cell>
          <cell r="I236">
            <v>5</v>
          </cell>
          <cell r="J236">
            <v>2</v>
          </cell>
          <cell r="K236">
            <v>24</v>
          </cell>
          <cell r="L236"/>
        </row>
        <row r="237">
          <cell r="B237" t="str">
            <v>SQFMD-0843</v>
          </cell>
          <cell r="C237" t="str">
            <v>Lablu Answeri</v>
          </cell>
          <cell r="D237" t="str">
            <v>Assistant Territory Sales officer</v>
          </cell>
          <cell r="E237" t="str">
            <v>S&amp;M</v>
          </cell>
          <cell r="F237">
            <v>45231</v>
          </cell>
          <cell r="G237">
            <v>31</v>
          </cell>
          <cell r="H237">
            <v>0</v>
          </cell>
          <cell r="I237">
            <v>5</v>
          </cell>
          <cell r="J237">
            <v>2</v>
          </cell>
          <cell r="K237">
            <v>24</v>
          </cell>
          <cell r="L237">
            <v>1</v>
          </cell>
        </row>
        <row r="238">
          <cell r="B238" t="str">
            <v>SQFMD-0844</v>
          </cell>
          <cell r="C238" t="str">
            <v>Achinta Roy</v>
          </cell>
          <cell r="D238" t="str">
            <v>Territory Sales officer</v>
          </cell>
          <cell r="E238" t="str">
            <v>S&amp;M</v>
          </cell>
          <cell r="F238">
            <v>45234</v>
          </cell>
          <cell r="G238">
            <v>31</v>
          </cell>
          <cell r="H238">
            <v>2</v>
          </cell>
          <cell r="I238">
            <v>5</v>
          </cell>
          <cell r="J238">
            <v>2</v>
          </cell>
          <cell r="K238">
            <v>22</v>
          </cell>
          <cell r="L238"/>
        </row>
        <row r="239">
          <cell r="B239" t="str">
            <v>SQFMD-0845</v>
          </cell>
          <cell r="C239" t="str">
            <v>Md Gias Uddin</v>
          </cell>
          <cell r="D239" t="str">
            <v>Sr. Territory Manager</v>
          </cell>
          <cell r="E239" t="str">
            <v>S&amp;M</v>
          </cell>
          <cell r="F239">
            <v>45234</v>
          </cell>
          <cell r="G239">
            <v>31</v>
          </cell>
          <cell r="H239">
            <v>0</v>
          </cell>
          <cell r="I239">
            <v>5</v>
          </cell>
          <cell r="J239">
            <v>2</v>
          </cell>
          <cell r="K239">
            <v>24</v>
          </cell>
          <cell r="L239">
            <v>14</v>
          </cell>
        </row>
        <row r="240">
          <cell r="B240" t="str">
            <v>SQFMD-0846</v>
          </cell>
          <cell r="C240" t="str">
            <v>Uttam Kumar Roy</v>
          </cell>
          <cell r="D240" t="str">
            <v>Sr. Territory Sales Officer</v>
          </cell>
          <cell r="E240" t="str">
            <v>S&amp;M</v>
          </cell>
          <cell r="F240">
            <v>45231</v>
          </cell>
          <cell r="G240">
            <v>31</v>
          </cell>
          <cell r="H240">
            <v>0</v>
          </cell>
          <cell r="I240">
            <v>5</v>
          </cell>
          <cell r="J240">
            <v>2</v>
          </cell>
          <cell r="K240">
            <v>24</v>
          </cell>
          <cell r="L240"/>
        </row>
        <row r="241">
          <cell r="B241" t="str">
            <v>SQFMD-0847</v>
          </cell>
          <cell r="C241" t="str">
            <v>Md Alamgir Hossain</v>
          </cell>
          <cell r="D241" t="str">
            <v>Sr. Territory Manager (Pesticide)</v>
          </cell>
          <cell r="E241" t="str">
            <v>S&amp;M</v>
          </cell>
          <cell r="F241">
            <v>45245</v>
          </cell>
          <cell r="G241">
            <v>31</v>
          </cell>
          <cell r="H241">
            <v>0</v>
          </cell>
          <cell r="I241">
            <v>5</v>
          </cell>
          <cell r="J241">
            <v>2</v>
          </cell>
          <cell r="K241">
            <v>24</v>
          </cell>
          <cell r="L241"/>
        </row>
        <row r="242">
          <cell r="B242" t="str">
            <v>SQFMD-0848</v>
          </cell>
          <cell r="C242" t="str">
            <v>Md Radoan Ahamed</v>
          </cell>
          <cell r="D242" t="str">
            <v>Deputy Manager</v>
          </cell>
          <cell r="E242" t="str">
            <v>Spare &amp; Parts</v>
          </cell>
          <cell r="F242">
            <v>45241</v>
          </cell>
          <cell r="G242">
            <v>31</v>
          </cell>
          <cell r="H242">
            <v>0</v>
          </cell>
          <cell r="I242">
            <v>5</v>
          </cell>
          <cell r="J242">
            <v>2</v>
          </cell>
          <cell r="K242">
            <v>24</v>
          </cell>
          <cell r="L242"/>
        </row>
        <row r="243">
          <cell r="B243" t="str">
            <v>SQFMD-0849</v>
          </cell>
          <cell r="C243" t="str">
            <v>Md Sohel Rana</v>
          </cell>
          <cell r="D243" t="str">
            <v>Territory Manager (Recovery)</v>
          </cell>
          <cell r="E243" t="str">
            <v>CRRM</v>
          </cell>
          <cell r="F243">
            <v>45241</v>
          </cell>
          <cell r="G243">
            <v>31</v>
          </cell>
          <cell r="H243">
            <v>0</v>
          </cell>
          <cell r="I243">
            <v>5</v>
          </cell>
          <cell r="J243">
            <v>2</v>
          </cell>
          <cell r="K243">
            <v>24</v>
          </cell>
          <cell r="L243"/>
        </row>
        <row r="244">
          <cell r="B244" t="str">
            <v>SQFMD-0850</v>
          </cell>
          <cell r="C244" t="str">
            <v>Md Mokhtar Hossen</v>
          </cell>
          <cell r="D244" t="str">
            <v>Recovery Officer</v>
          </cell>
          <cell r="E244" t="str">
            <v>CRRM</v>
          </cell>
          <cell r="F244">
            <v>45250</v>
          </cell>
          <cell r="G244">
            <v>31</v>
          </cell>
          <cell r="H244">
            <v>0</v>
          </cell>
          <cell r="I244">
            <v>5</v>
          </cell>
          <cell r="J244">
            <v>2</v>
          </cell>
          <cell r="K244">
            <v>24</v>
          </cell>
          <cell r="L244"/>
        </row>
        <row r="245">
          <cell r="B245" t="str">
            <v>SQFMD-0852</v>
          </cell>
          <cell r="C245" t="str">
            <v>Md Bipul Pramanik</v>
          </cell>
          <cell r="D245" t="str">
            <v>Mechanic</v>
          </cell>
          <cell r="E245" t="str">
            <v>Technical</v>
          </cell>
          <cell r="F245">
            <v>45234</v>
          </cell>
          <cell r="G245">
            <v>31</v>
          </cell>
          <cell r="H245">
            <v>0</v>
          </cell>
          <cell r="I245">
            <v>5</v>
          </cell>
          <cell r="J245">
            <v>2</v>
          </cell>
          <cell r="K245">
            <v>24</v>
          </cell>
          <cell r="L245"/>
        </row>
        <row r="246">
          <cell r="B246" t="str">
            <v>SQFMD-0853</v>
          </cell>
          <cell r="C246" t="str">
            <v>Md Nazmul Islam khandokar</v>
          </cell>
          <cell r="D246" t="str">
            <v>Recovery Officer</v>
          </cell>
          <cell r="E246" t="str">
            <v>CRRM</v>
          </cell>
          <cell r="F246">
            <v>45255</v>
          </cell>
          <cell r="G246">
            <v>31</v>
          </cell>
          <cell r="H246">
            <v>0</v>
          </cell>
          <cell r="I246">
            <v>5</v>
          </cell>
          <cell r="J246">
            <v>2</v>
          </cell>
          <cell r="K246">
            <v>24</v>
          </cell>
          <cell r="L246"/>
        </row>
        <row r="247">
          <cell r="B247" t="str">
            <v>SQFMD-0854</v>
          </cell>
          <cell r="C247" t="str">
            <v>Md Shamim Hosan</v>
          </cell>
          <cell r="D247" t="str">
            <v>Asst. Mechanic</v>
          </cell>
          <cell r="E247" t="str">
            <v>Technical</v>
          </cell>
          <cell r="F247">
            <v>45245</v>
          </cell>
          <cell r="G247">
            <v>31</v>
          </cell>
          <cell r="H247">
            <v>0</v>
          </cell>
          <cell r="I247">
            <v>5</v>
          </cell>
          <cell r="J247">
            <v>2</v>
          </cell>
          <cell r="K247">
            <v>24</v>
          </cell>
          <cell r="L247"/>
        </row>
        <row r="248">
          <cell r="B248" t="str">
            <v>SQFMD-0855</v>
          </cell>
          <cell r="C248" t="str">
            <v>Md Rashidul Islam</v>
          </cell>
          <cell r="D248" t="str">
            <v>Mechanic</v>
          </cell>
          <cell r="E248" t="str">
            <v>Technical</v>
          </cell>
          <cell r="F248">
            <v>45245</v>
          </cell>
          <cell r="G248">
            <v>31</v>
          </cell>
          <cell r="H248">
            <v>3</v>
          </cell>
          <cell r="I248">
            <v>5</v>
          </cell>
          <cell r="J248">
            <v>2</v>
          </cell>
          <cell r="K248">
            <v>21</v>
          </cell>
          <cell r="L248">
            <v>1</v>
          </cell>
        </row>
        <row r="249">
          <cell r="B249" t="str">
            <v>SQFMD-0856</v>
          </cell>
          <cell r="C249" t="str">
            <v>Md Jahid Hasan</v>
          </cell>
          <cell r="D249" t="str">
            <v>Asst. Regional Manager</v>
          </cell>
          <cell r="E249" t="str">
            <v>S&amp;M</v>
          </cell>
          <cell r="F249">
            <v>45250</v>
          </cell>
          <cell r="G249">
            <v>31</v>
          </cell>
          <cell r="H249">
            <v>0</v>
          </cell>
          <cell r="I249">
            <v>5</v>
          </cell>
          <cell r="J249">
            <v>2</v>
          </cell>
          <cell r="K249">
            <v>24</v>
          </cell>
          <cell r="L249"/>
        </row>
        <row r="250">
          <cell r="B250" t="str">
            <v>SQFMD-0857</v>
          </cell>
          <cell r="C250" t="str">
            <v>Md Sumon Mia</v>
          </cell>
          <cell r="D250" t="str">
            <v>Mechanic</v>
          </cell>
          <cell r="E250" t="str">
            <v>Technical</v>
          </cell>
          <cell r="F250">
            <v>45255</v>
          </cell>
          <cell r="G250">
            <v>31</v>
          </cell>
          <cell r="H250">
            <v>1</v>
          </cell>
          <cell r="I250">
            <v>5</v>
          </cell>
          <cell r="J250">
            <v>2</v>
          </cell>
          <cell r="K250">
            <v>23</v>
          </cell>
          <cell r="L250"/>
        </row>
        <row r="251">
          <cell r="B251" t="str">
            <v>SQFMD-0858</v>
          </cell>
          <cell r="C251" t="str">
            <v>Mamun Mia</v>
          </cell>
          <cell r="D251" t="str">
            <v>Mechanic</v>
          </cell>
          <cell r="E251" t="str">
            <v>Technical</v>
          </cell>
          <cell r="F251">
            <v>45255</v>
          </cell>
          <cell r="G251">
            <v>31</v>
          </cell>
          <cell r="H251">
            <v>0</v>
          </cell>
          <cell r="I251">
            <v>5</v>
          </cell>
          <cell r="J251">
            <v>2</v>
          </cell>
          <cell r="K251">
            <v>24</v>
          </cell>
          <cell r="L251"/>
        </row>
        <row r="252">
          <cell r="B252" t="str">
            <v>SQFMD-0860</v>
          </cell>
          <cell r="C252" t="str">
            <v>Md Amirul Islam</v>
          </cell>
          <cell r="D252" t="str">
            <v>Territory Sales officer</v>
          </cell>
          <cell r="E252" t="str">
            <v>Pesticide &amp; Fertilizer</v>
          </cell>
          <cell r="F252">
            <v>45262</v>
          </cell>
          <cell r="G252">
            <v>31</v>
          </cell>
          <cell r="H252">
            <v>0</v>
          </cell>
          <cell r="I252">
            <v>5</v>
          </cell>
          <cell r="J252">
            <v>2</v>
          </cell>
          <cell r="K252">
            <v>24</v>
          </cell>
          <cell r="L252"/>
        </row>
        <row r="253">
          <cell r="B253" t="str">
            <v>SQFMD-0861</v>
          </cell>
          <cell r="C253" t="str">
            <v>Md Nayeem Akhter</v>
          </cell>
          <cell r="D253" t="str">
            <v>Deputy Manager</v>
          </cell>
          <cell r="E253" t="str">
            <v>S&amp;M</v>
          </cell>
          <cell r="F253">
            <v>45262</v>
          </cell>
          <cell r="G253">
            <v>31</v>
          </cell>
          <cell r="H253">
            <v>0</v>
          </cell>
          <cell r="I253">
            <v>5</v>
          </cell>
          <cell r="J253">
            <v>2</v>
          </cell>
          <cell r="K253">
            <v>24</v>
          </cell>
          <cell r="L253"/>
        </row>
        <row r="254">
          <cell r="B254" t="str">
            <v>SQFMD-0863</v>
          </cell>
          <cell r="C254" t="str">
            <v>Md Alamin</v>
          </cell>
          <cell r="D254" t="str">
            <v>Mechanic</v>
          </cell>
          <cell r="E254" t="str">
            <v>Technical</v>
          </cell>
          <cell r="F254">
            <v>45262</v>
          </cell>
          <cell r="G254">
            <v>31</v>
          </cell>
          <cell r="H254">
            <v>0</v>
          </cell>
          <cell r="I254">
            <v>5</v>
          </cell>
          <cell r="J254">
            <v>2</v>
          </cell>
          <cell r="K254">
            <v>24</v>
          </cell>
          <cell r="L254"/>
        </row>
        <row r="255">
          <cell r="B255" t="str">
            <v>SQFMD-0864</v>
          </cell>
          <cell r="C255" t="str">
            <v>Md Minarul Islam</v>
          </cell>
          <cell r="D255" t="str">
            <v>Territory Sales officer</v>
          </cell>
          <cell r="E255" t="str">
            <v>Pesticide &amp; Fertilizer</v>
          </cell>
          <cell r="F255">
            <v>45265</v>
          </cell>
          <cell r="G255">
            <v>31</v>
          </cell>
          <cell r="H255">
            <v>0</v>
          </cell>
          <cell r="I255">
            <v>5</v>
          </cell>
          <cell r="J255">
            <v>2</v>
          </cell>
          <cell r="K255">
            <v>24</v>
          </cell>
          <cell r="L255"/>
        </row>
        <row r="256">
          <cell r="B256" t="str">
            <v>SQFMD-0865</v>
          </cell>
          <cell r="C256" t="str">
            <v>Md Aminur Islam</v>
          </cell>
          <cell r="D256" t="str">
            <v>Service Supervisor (Sr. Mechanic)</v>
          </cell>
          <cell r="E256" t="str">
            <v>Technical</v>
          </cell>
          <cell r="F256">
            <v>45265</v>
          </cell>
          <cell r="G256">
            <v>31</v>
          </cell>
          <cell r="H256">
            <v>0</v>
          </cell>
          <cell r="I256">
            <v>5</v>
          </cell>
          <cell r="J256">
            <v>2</v>
          </cell>
          <cell r="K256">
            <v>24</v>
          </cell>
          <cell r="L256"/>
        </row>
        <row r="257">
          <cell r="B257" t="str">
            <v>SQFMD-0867</v>
          </cell>
          <cell r="C257" t="str">
            <v>Amitavo Chowdhury Wye</v>
          </cell>
          <cell r="D257" t="str">
            <v>CEO</v>
          </cell>
          <cell r="E257" t="str">
            <v>R&amp;D</v>
          </cell>
          <cell r="F257">
            <v>45231</v>
          </cell>
          <cell r="G257">
            <v>31</v>
          </cell>
          <cell r="H257">
            <v>0</v>
          </cell>
          <cell r="I257">
            <v>5</v>
          </cell>
          <cell r="J257">
            <v>2</v>
          </cell>
          <cell r="K257">
            <v>24</v>
          </cell>
          <cell r="L257"/>
        </row>
        <row r="258">
          <cell r="B258" t="str">
            <v>SQFMD-0869</v>
          </cell>
          <cell r="C258" t="str">
            <v>Md Monowar Hossain</v>
          </cell>
          <cell r="D258" t="str">
            <v>STM</v>
          </cell>
          <cell r="E258" t="str">
            <v>Pesticide &amp; Fertilizer</v>
          </cell>
          <cell r="F258">
            <v>45292</v>
          </cell>
          <cell r="G258">
            <v>31</v>
          </cell>
          <cell r="H258">
            <v>0</v>
          </cell>
          <cell r="I258">
            <v>5</v>
          </cell>
          <cell r="J258">
            <v>2</v>
          </cell>
          <cell r="K258">
            <v>24</v>
          </cell>
          <cell r="L258"/>
        </row>
        <row r="259">
          <cell r="B259" t="str">
            <v>SQFMD-0871</v>
          </cell>
          <cell r="C259" t="str">
            <v>Md Arif Molla</v>
          </cell>
          <cell r="D259" t="str">
            <v>Mechanic</v>
          </cell>
          <cell r="E259" t="str">
            <v>Technical</v>
          </cell>
          <cell r="F259">
            <v>45304</v>
          </cell>
          <cell r="G259">
            <v>31</v>
          </cell>
          <cell r="H259">
            <v>2</v>
          </cell>
          <cell r="I259">
            <v>5</v>
          </cell>
          <cell r="J259">
            <v>2</v>
          </cell>
          <cell r="K259">
            <v>22</v>
          </cell>
          <cell r="L259"/>
        </row>
        <row r="260">
          <cell r="B260" t="str">
            <v>SQFMD-0872</v>
          </cell>
          <cell r="C260" t="str">
            <v>Md Mizanur Rahaman</v>
          </cell>
          <cell r="D260" t="str">
            <v>Sr. Territory Sales Officer</v>
          </cell>
          <cell r="E260" t="str">
            <v>Pesticide &amp; Fertilizer</v>
          </cell>
          <cell r="F260">
            <v>45299</v>
          </cell>
          <cell r="G260">
            <v>31</v>
          </cell>
          <cell r="H260">
            <v>0</v>
          </cell>
          <cell r="I260">
            <v>5</v>
          </cell>
          <cell r="J260">
            <v>2</v>
          </cell>
          <cell r="K260">
            <v>24</v>
          </cell>
          <cell r="L260"/>
        </row>
        <row r="261">
          <cell r="B261" t="str">
            <v>SQFMD-0873</v>
          </cell>
          <cell r="C261" t="str">
            <v>Md Aminul Islam</v>
          </cell>
          <cell r="D261" t="str">
            <v>Territory Sales Officer</v>
          </cell>
          <cell r="E261" t="str">
            <v>Pesticide &amp; Fertilizer</v>
          </cell>
          <cell r="F261">
            <v>45299</v>
          </cell>
          <cell r="G261">
            <v>31</v>
          </cell>
          <cell r="H261">
            <v>0</v>
          </cell>
          <cell r="I261">
            <v>5</v>
          </cell>
          <cell r="J261">
            <v>2</v>
          </cell>
          <cell r="K261">
            <v>24</v>
          </cell>
          <cell r="L261"/>
        </row>
        <row r="262">
          <cell r="B262" t="str">
            <v>SQFMD-0874</v>
          </cell>
          <cell r="C262" t="str">
            <v>Md Alamgir Hossain</v>
          </cell>
          <cell r="D262" t="str">
            <v>Sr. Territory Sales Officer</v>
          </cell>
          <cell r="E262" t="str">
            <v>Pesticide &amp; Fertilizer</v>
          </cell>
          <cell r="F262">
            <v>45297</v>
          </cell>
          <cell r="G262">
            <v>31</v>
          </cell>
          <cell r="H262">
            <v>0</v>
          </cell>
          <cell r="I262">
            <v>5</v>
          </cell>
          <cell r="J262">
            <v>2</v>
          </cell>
          <cell r="K262">
            <v>24</v>
          </cell>
          <cell r="L262"/>
        </row>
        <row r="263">
          <cell r="B263" t="str">
            <v>SQFMD-0875</v>
          </cell>
          <cell r="C263" t="str">
            <v>Md Roknuzzaman</v>
          </cell>
          <cell r="D263" t="str">
            <v>Sr. Territory Sales Officer</v>
          </cell>
          <cell r="E263" t="str">
            <v>Pesticide &amp; Fertilizer</v>
          </cell>
          <cell r="F263">
            <v>45300</v>
          </cell>
          <cell r="G263">
            <v>31</v>
          </cell>
          <cell r="H263">
            <v>0</v>
          </cell>
          <cell r="I263">
            <v>5</v>
          </cell>
          <cell r="J263">
            <v>2</v>
          </cell>
          <cell r="K263">
            <v>24</v>
          </cell>
          <cell r="L263"/>
        </row>
        <row r="264">
          <cell r="B264" t="str">
            <v>SQFMD-0876</v>
          </cell>
          <cell r="C264" t="str">
            <v>Iqbal</v>
          </cell>
          <cell r="D264" t="str">
            <v>Worker</v>
          </cell>
          <cell r="E264" t="str">
            <v>Store &amp; Logistics</v>
          </cell>
          <cell r="F264">
            <v>45078</v>
          </cell>
          <cell r="G264">
            <v>31</v>
          </cell>
          <cell r="H264">
            <v>4</v>
          </cell>
          <cell r="I264">
            <v>5</v>
          </cell>
          <cell r="J264">
            <v>2</v>
          </cell>
          <cell r="K264">
            <v>20</v>
          </cell>
          <cell r="L264"/>
        </row>
        <row r="265">
          <cell r="B265" t="str">
            <v>SQFMD-0877</v>
          </cell>
          <cell r="C265" t="str">
            <v>Md Shabuz Mia</v>
          </cell>
          <cell r="D265" t="str">
            <v>Driver</v>
          </cell>
          <cell r="E265" t="str">
            <v>Transport</v>
          </cell>
          <cell r="F265">
            <v>43452</v>
          </cell>
          <cell r="G265">
            <v>31</v>
          </cell>
          <cell r="H265">
            <v>0</v>
          </cell>
          <cell r="I265">
            <v>5</v>
          </cell>
          <cell r="J265">
            <v>2</v>
          </cell>
          <cell r="K265">
            <v>24</v>
          </cell>
          <cell r="L265"/>
        </row>
        <row r="266">
          <cell r="B266" t="str">
            <v>SQFMD-0878</v>
          </cell>
          <cell r="C266" t="str">
            <v>Md Matiur Rahman</v>
          </cell>
          <cell r="D266" t="str">
            <v>Territory Manager</v>
          </cell>
          <cell r="E266" t="str">
            <v>Seed</v>
          </cell>
          <cell r="F266">
            <v>45323</v>
          </cell>
          <cell r="G266">
            <v>31</v>
          </cell>
          <cell r="H266">
            <v>0</v>
          </cell>
          <cell r="I266">
            <v>5</v>
          </cell>
          <cell r="J266">
            <v>2</v>
          </cell>
          <cell r="K266">
            <v>24</v>
          </cell>
          <cell r="L266"/>
        </row>
        <row r="267">
          <cell r="B267" t="str">
            <v>SQFMD-0879</v>
          </cell>
          <cell r="C267" t="str">
            <v>Dewan Kamrul Hasan</v>
          </cell>
          <cell r="D267" t="str">
            <v>Asst. General Manager</v>
          </cell>
          <cell r="E267" t="str">
            <v>Pesticide &amp; Fertilizer</v>
          </cell>
          <cell r="F267">
            <v>45325</v>
          </cell>
          <cell r="G267">
            <v>31</v>
          </cell>
          <cell r="H267">
            <v>0</v>
          </cell>
          <cell r="I267">
            <v>5</v>
          </cell>
          <cell r="J267">
            <v>2</v>
          </cell>
          <cell r="K267">
            <v>24</v>
          </cell>
          <cell r="L267"/>
        </row>
        <row r="268">
          <cell r="B268" t="str">
            <v>SQFMD-0880</v>
          </cell>
          <cell r="C268" t="str">
            <v>Abdus Salam</v>
          </cell>
          <cell r="D268" t="str">
            <v>Regional Sales Manager</v>
          </cell>
          <cell r="E268" t="str">
            <v>Seed</v>
          </cell>
          <cell r="F268">
            <v>45332</v>
          </cell>
          <cell r="G268">
            <v>31</v>
          </cell>
          <cell r="H268">
            <v>0</v>
          </cell>
          <cell r="I268">
            <v>5</v>
          </cell>
          <cell r="J268">
            <v>2</v>
          </cell>
          <cell r="K268">
            <v>24</v>
          </cell>
          <cell r="L268"/>
        </row>
        <row r="269">
          <cell r="B269" t="str">
            <v>SQFMD-0881</v>
          </cell>
          <cell r="C269" t="str">
            <v>Md Mozahid</v>
          </cell>
          <cell r="D269" t="str">
            <v>Territory Sales Officer</v>
          </cell>
          <cell r="E269" t="str">
            <v>Seed</v>
          </cell>
          <cell r="F269">
            <v>45335</v>
          </cell>
          <cell r="G269">
            <v>31</v>
          </cell>
          <cell r="H269">
            <v>0</v>
          </cell>
          <cell r="I269">
            <v>5</v>
          </cell>
          <cell r="J269">
            <v>2</v>
          </cell>
          <cell r="K269">
            <v>24</v>
          </cell>
          <cell r="L269"/>
        </row>
        <row r="270">
          <cell r="B270" t="str">
            <v>SQFMD-0882</v>
          </cell>
          <cell r="C270" t="str">
            <v>Sujan Chandra Roy</v>
          </cell>
          <cell r="D270" t="str">
            <v>Farm Supervisor</v>
          </cell>
          <cell r="E270" t="str">
            <v>Seed</v>
          </cell>
          <cell r="F270">
            <v>45323</v>
          </cell>
          <cell r="G270">
            <v>31</v>
          </cell>
          <cell r="H270">
            <v>0</v>
          </cell>
          <cell r="I270">
            <v>5</v>
          </cell>
          <cell r="J270">
            <v>2</v>
          </cell>
          <cell r="K270">
            <v>24</v>
          </cell>
          <cell r="L270"/>
        </row>
        <row r="271">
          <cell r="B271" t="str">
            <v>SQFMD-0883</v>
          </cell>
          <cell r="C271" t="str">
            <v>Md Ahsan Habib</v>
          </cell>
          <cell r="D271" t="str">
            <v>Office Assistant</v>
          </cell>
          <cell r="E271" t="str">
            <v>Pesticide &amp; Fertilizer</v>
          </cell>
          <cell r="F271">
            <v>45336</v>
          </cell>
          <cell r="G271">
            <v>31</v>
          </cell>
          <cell r="H271">
            <v>0</v>
          </cell>
          <cell r="I271">
            <v>5</v>
          </cell>
          <cell r="J271">
            <v>2</v>
          </cell>
          <cell r="K271">
            <v>24</v>
          </cell>
          <cell r="L271"/>
        </row>
        <row r="272">
          <cell r="B272" t="str">
            <v>SQFMD-0884</v>
          </cell>
          <cell r="C272" t="str">
            <v>Md Masud Rana</v>
          </cell>
          <cell r="D272" t="str">
            <v>Territory Sales Officer</v>
          </cell>
          <cell r="E272" t="str">
            <v>Pesticide &amp; Fertilizer</v>
          </cell>
          <cell r="F272">
            <v>45333</v>
          </cell>
          <cell r="G272">
            <v>31</v>
          </cell>
          <cell r="H272">
            <v>0</v>
          </cell>
          <cell r="I272">
            <v>5</v>
          </cell>
          <cell r="J272">
            <v>2</v>
          </cell>
          <cell r="K272">
            <v>24</v>
          </cell>
          <cell r="L272"/>
        </row>
        <row r="273">
          <cell r="B273" t="str">
            <v>SQFMD-0886</v>
          </cell>
          <cell r="C273" t="str">
            <v>Md Asaduzzaman Sagor</v>
          </cell>
          <cell r="D273" t="str">
            <v>Jr. Engineer</v>
          </cell>
          <cell r="E273" t="str">
            <v>R&amp;D</v>
          </cell>
          <cell r="F273">
            <v>45337</v>
          </cell>
          <cell r="G273">
            <v>31</v>
          </cell>
          <cell r="H273">
            <v>0</v>
          </cell>
          <cell r="I273">
            <v>5</v>
          </cell>
          <cell r="J273">
            <v>2</v>
          </cell>
          <cell r="K273">
            <v>24</v>
          </cell>
          <cell r="L273"/>
        </row>
        <row r="274">
          <cell r="B274" t="str">
            <v>SQFMD-0887</v>
          </cell>
          <cell r="C274" t="str">
            <v>Md Rony Miya</v>
          </cell>
          <cell r="D274" t="str">
            <v>Office Assistant</v>
          </cell>
          <cell r="E274" t="str">
            <v>Pesticide &amp; Fertilizer</v>
          </cell>
          <cell r="F274">
            <v>45337</v>
          </cell>
          <cell r="G274">
            <v>31</v>
          </cell>
          <cell r="H274">
            <v>0</v>
          </cell>
          <cell r="I274">
            <v>5</v>
          </cell>
          <cell r="J274">
            <v>2</v>
          </cell>
          <cell r="K274">
            <v>24</v>
          </cell>
          <cell r="L274"/>
        </row>
        <row r="275">
          <cell r="B275" t="str">
            <v>SQFMD-0888</v>
          </cell>
          <cell r="C275" t="str">
            <v>Md Mehedi Hasan</v>
          </cell>
          <cell r="D275" t="str">
            <v>Sr. Territory Sales Officer</v>
          </cell>
          <cell r="E275" t="str">
            <v>S&amp;M</v>
          </cell>
          <cell r="F275">
            <v>45337</v>
          </cell>
          <cell r="G275">
            <v>31</v>
          </cell>
          <cell r="H275">
            <v>0</v>
          </cell>
          <cell r="I275">
            <v>5</v>
          </cell>
          <cell r="J275">
            <v>2</v>
          </cell>
          <cell r="K275">
            <v>24</v>
          </cell>
          <cell r="L275"/>
        </row>
        <row r="276">
          <cell r="B276" t="str">
            <v>SQFMD-0889</v>
          </cell>
          <cell r="C276" t="str">
            <v>Md Golam Sorower</v>
          </cell>
          <cell r="D276" t="str">
            <v>Sr. Territory Sales Officer</v>
          </cell>
          <cell r="E276" t="str">
            <v>S&amp;M</v>
          </cell>
          <cell r="F276">
            <v>45346</v>
          </cell>
          <cell r="G276">
            <v>31</v>
          </cell>
          <cell r="H276">
            <v>0</v>
          </cell>
          <cell r="I276">
            <v>5</v>
          </cell>
          <cell r="J276">
            <v>2</v>
          </cell>
          <cell r="K276">
            <v>24</v>
          </cell>
          <cell r="L276"/>
        </row>
        <row r="277">
          <cell r="B277" t="str">
            <v>SQFMD-0890</v>
          </cell>
          <cell r="C277" t="str">
            <v>Md Sumon Miah</v>
          </cell>
          <cell r="D277" t="str">
            <v>Sr. Territory Sales Officer</v>
          </cell>
          <cell r="E277" t="str">
            <v>S&amp;M</v>
          </cell>
          <cell r="F277">
            <v>45347</v>
          </cell>
          <cell r="G277">
            <v>31</v>
          </cell>
          <cell r="H277">
            <v>2</v>
          </cell>
          <cell r="I277">
            <v>5</v>
          </cell>
          <cell r="J277">
            <v>2</v>
          </cell>
          <cell r="K277">
            <v>22</v>
          </cell>
          <cell r="L277"/>
        </row>
        <row r="278">
          <cell r="B278" t="str">
            <v>SQFMD-0891</v>
          </cell>
          <cell r="C278" t="str">
            <v>Md Asaduzzaman</v>
          </cell>
          <cell r="D278" t="str">
            <v>Sr. Territory Sales Officer</v>
          </cell>
          <cell r="E278" t="str">
            <v>S&amp;M</v>
          </cell>
          <cell r="F278">
            <v>45353</v>
          </cell>
          <cell r="G278">
            <v>31</v>
          </cell>
          <cell r="H278">
            <v>1</v>
          </cell>
          <cell r="I278">
            <v>5</v>
          </cell>
          <cell r="J278">
            <v>2</v>
          </cell>
          <cell r="K278">
            <v>23</v>
          </cell>
          <cell r="L278"/>
        </row>
        <row r="279">
          <cell r="B279" t="str">
            <v>SQFMD-0893</v>
          </cell>
          <cell r="C279" t="str">
            <v>Md Raju Mia</v>
          </cell>
          <cell r="D279" t="str">
            <v>Assistant Territory Manager</v>
          </cell>
          <cell r="E279" t="str">
            <v>S&amp;M</v>
          </cell>
          <cell r="F279">
            <v>45353</v>
          </cell>
          <cell r="G279">
            <v>31</v>
          </cell>
          <cell r="H279">
            <v>0</v>
          </cell>
          <cell r="I279">
            <v>5</v>
          </cell>
          <cell r="J279">
            <v>2</v>
          </cell>
          <cell r="K279">
            <v>24</v>
          </cell>
          <cell r="L279"/>
        </row>
        <row r="280">
          <cell r="B280" t="str">
            <v>SQFMD-0894</v>
          </cell>
          <cell r="C280" t="str">
            <v>Md Peyarul Islam</v>
          </cell>
          <cell r="D280" t="str">
            <v>Sr. Territory Sales Officer</v>
          </cell>
          <cell r="E280" t="str">
            <v>S&amp;M</v>
          </cell>
          <cell r="F280">
            <v>45353</v>
          </cell>
          <cell r="G280">
            <v>31</v>
          </cell>
          <cell r="H280">
            <v>0</v>
          </cell>
          <cell r="I280">
            <v>5</v>
          </cell>
          <cell r="J280">
            <v>2</v>
          </cell>
          <cell r="K280">
            <v>24</v>
          </cell>
          <cell r="L280"/>
        </row>
        <row r="281">
          <cell r="B281" t="str">
            <v>SQFMD-0895</v>
          </cell>
          <cell r="C281" t="str">
            <v>Md Nasirul Islam</v>
          </cell>
          <cell r="D281" t="str">
            <v>Assistant Regional Manager</v>
          </cell>
          <cell r="E281" t="str">
            <v>S&amp;M</v>
          </cell>
          <cell r="F281">
            <v>45353</v>
          </cell>
          <cell r="G281">
            <v>31</v>
          </cell>
          <cell r="H281">
            <v>0</v>
          </cell>
          <cell r="I281">
            <v>5</v>
          </cell>
          <cell r="J281">
            <v>2</v>
          </cell>
          <cell r="K281">
            <v>24</v>
          </cell>
          <cell r="L281"/>
        </row>
        <row r="282">
          <cell r="B282" t="str">
            <v>SQFMD-0896</v>
          </cell>
          <cell r="C282" t="str">
            <v>Sree Bhupendronath Roy</v>
          </cell>
          <cell r="D282" t="str">
            <v>Assistant Territory Manager</v>
          </cell>
          <cell r="E282" t="str">
            <v>S&amp;M</v>
          </cell>
          <cell r="F282">
            <v>45353</v>
          </cell>
          <cell r="G282">
            <v>31</v>
          </cell>
          <cell r="H282">
            <v>0</v>
          </cell>
          <cell r="I282">
            <v>5</v>
          </cell>
          <cell r="J282">
            <v>2</v>
          </cell>
          <cell r="K282">
            <v>24</v>
          </cell>
          <cell r="L282"/>
        </row>
        <row r="283">
          <cell r="B283" t="str">
            <v>SQFMD-0897</v>
          </cell>
          <cell r="C283" t="str">
            <v>Md Wohed Ali</v>
          </cell>
          <cell r="D283" t="str">
            <v>Sr. Territory Sales Officer</v>
          </cell>
          <cell r="E283" t="str">
            <v>S&amp;M</v>
          </cell>
          <cell r="F283">
            <v>45353</v>
          </cell>
          <cell r="G283">
            <v>31</v>
          </cell>
          <cell r="H283">
            <v>0</v>
          </cell>
          <cell r="I283">
            <v>5</v>
          </cell>
          <cell r="J283">
            <v>2</v>
          </cell>
          <cell r="K283">
            <v>24</v>
          </cell>
          <cell r="L283"/>
        </row>
        <row r="284">
          <cell r="B284" t="str">
            <v>SQFMD-0898</v>
          </cell>
          <cell r="C284" t="str">
            <v>Md Gias Uddin Howlader</v>
          </cell>
          <cell r="D284" t="str">
            <v>Sr. Territory Sales Officer</v>
          </cell>
          <cell r="E284" t="str">
            <v>S&amp;M</v>
          </cell>
          <cell r="F284">
            <v>45353</v>
          </cell>
          <cell r="G284">
            <v>31</v>
          </cell>
          <cell r="H284">
            <v>0</v>
          </cell>
          <cell r="I284">
            <v>5</v>
          </cell>
          <cell r="J284">
            <v>2</v>
          </cell>
          <cell r="K284">
            <v>24</v>
          </cell>
          <cell r="L284"/>
        </row>
        <row r="285">
          <cell r="B285" t="str">
            <v>SQFMD-0899</v>
          </cell>
          <cell r="C285" t="str">
            <v>Md Rayhan Faruq Gazi</v>
          </cell>
          <cell r="D285" t="str">
            <v>Assistant Territory Manager</v>
          </cell>
          <cell r="E285" t="str">
            <v>S&amp;M</v>
          </cell>
          <cell r="F285">
            <v>45353</v>
          </cell>
          <cell r="G285">
            <v>31</v>
          </cell>
          <cell r="H285">
            <v>0</v>
          </cell>
          <cell r="I285">
            <v>5</v>
          </cell>
          <cell r="J285">
            <v>2</v>
          </cell>
          <cell r="K285">
            <v>24</v>
          </cell>
          <cell r="L285"/>
        </row>
        <row r="286">
          <cell r="B286" t="str">
            <v>SQFMD-0900</v>
          </cell>
          <cell r="C286" t="str">
            <v>Md Shariful Islam</v>
          </cell>
          <cell r="D286" t="str">
            <v>Sr. Manager</v>
          </cell>
          <cell r="E286" t="str">
            <v>CRRM</v>
          </cell>
          <cell r="F286">
            <v>45353</v>
          </cell>
          <cell r="G286">
            <v>31</v>
          </cell>
          <cell r="H286">
            <v>0</v>
          </cell>
          <cell r="I286">
            <v>5</v>
          </cell>
          <cell r="J286">
            <v>2</v>
          </cell>
          <cell r="K286">
            <v>24</v>
          </cell>
          <cell r="L286"/>
        </row>
        <row r="287">
          <cell r="B287" t="str">
            <v>SQFMD-0509</v>
          </cell>
          <cell r="C287" t="str">
            <v>Md. Yousub Ali</v>
          </cell>
          <cell r="D287" t="str">
            <v>Territory Sales Officer</v>
          </cell>
          <cell r="E287" t="str">
            <v>Pesticide &amp; Fertilizer</v>
          </cell>
          <cell r="F287">
            <v>45355</v>
          </cell>
          <cell r="G287">
            <v>31</v>
          </cell>
          <cell r="H287">
            <v>0</v>
          </cell>
          <cell r="I287">
            <v>5</v>
          </cell>
          <cell r="J287">
            <v>2</v>
          </cell>
          <cell r="K287">
            <v>24</v>
          </cell>
          <cell r="L287"/>
        </row>
        <row r="288">
          <cell r="B288" t="str">
            <v>SQFMD-0901</v>
          </cell>
          <cell r="C288" t="str">
            <v>Ramani Kanta Barman</v>
          </cell>
          <cell r="D288" t="str">
            <v>Sr. Territory Sales Officer</v>
          </cell>
          <cell r="E288" t="str">
            <v>S&amp;M</v>
          </cell>
          <cell r="F288">
            <v>45356</v>
          </cell>
          <cell r="G288">
            <v>31</v>
          </cell>
          <cell r="H288">
            <v>0</v>
          </cell>
          <cell r="I288">
            <v>5</v>
          </cell>
          <cell r="J288">
            <v>2</v>
          </cell>
          <cell r="K288">
            <v>24</v>
          </cell>
          <cell r="L288"/>
        </row>
        <row r="289">
          <cell r="B289" t="str">
            <v>SQFMD-0902</v>
          </cell>
          <cell r="C289" t="str">
            <v>Md Aibul Ali</v>
          </cell>
          <cell r="D289" t="str">
            <v>Lowbed Driver</v>
          </cell>
          <cell r="E289" t="str">
            <v>Transport</v>
          </cell>
          <cell r="F289">
            <v>45356</v>
          </cell>
          <cell r="G289">
            <v>31</v>
          </cell>
          <cell r="H289">
            <v>0</v>
          </cell>
          <cell r="I289">
            <v>5</v>
          </cell>
          <cell r="J289">
            <v>2</v>
          </cell>
          <cell r="K289">
            <v>24</v>
          </cell>
          <cell r="L289"/>
        </row>
        <row r="290">
          <cell r="B290" t="str">
            <v>SQFMD-0903</v>
          </cell>
          <cell r="C290" t="str">
            <v>Md Tuhin Akram</v>
          </cell>
          <cell r="D290" t="str">
            <v>Territory Sales Officer</v>
          </cell>
          <cell r="E290" t="str">
            <v>Pesticide &amp; Fertilizer</v>
          </cell>
          <cell r="F290">
            <v>45357</v>
          </cell>
          <cell r="G290">
            <v>31</v>
          </cell>
          <cell r="H290">
            <v>0</v>
          </cell>
          <cell r="I290">
            <v>5</v>
          </cell>
          <cell r="J290">
            <v>2</v>
          </cell>
          <cell r="K290">
            <v>24</v>
          </cell>
          <cell r="L290"/>
        </row>
        <row r="291">
          <cell r="B291" t="str">
            <v>SQFMD-0904</v>
          </cell>
          <cell r="C291" t="str">
            <v>Md Rakib Hossain</v>
          </cell>
          <cell r="D291" t="str">
            <v>Territory Sales Officer</v>
          </cell>
          <cell r="E291" t="str">
            <v>Pesticide &amp; Fertilizer</v>
          </cell>
          <cell r="F291">
            <v>45357</v>
          </cell>
          <cell r="G291">
            <v>31</v>
          </cell>
          <cell r="H291">
            <v>0</v>
          </cell>
          <cell r="I291">
            <v>5</v>
          </cell>
          <cell r="J291">
            <v>2</v>
          </cell>
          <cell r="K291">
            <v>24</v>
          </cell>
          <cell r="L291"/>
        </row>
        <row r="292">
          <cell r="B292" t="str">
            <v>SQFMD-0905</v>
          </cell>
          <cell r="C292" t="str">
            <v>Md Atikur Rahman</v>
          </cell>
          <cell r="D292" t="str">
            <v>Territory Sales Officer</v>
          </cell>
          <cell r="E292" t="str">
            <v>Pesticide &amp; Fertilizer</v>
          </cell>
          <cell r="F292">
            <v>45357</v>
          </cell>
          <cell r="G292">
            <v>31</v>
          </cell>
          <cell r="H292">
            <v>0</v>
          </cell>
          <cell r="I292">
            <v>5</v>
          </cell>
          <cell r="J292">
            <v>2</v>
          </cell>
          <cell r="K292">
            <v>24</v>
          </cell>
          <cell r="L292"/>
        </row>
        <row r="293">
          <cell r="B293" t="str">
            <v>SQFMD-0906</v>
          </cell>
          <cell r="C293" t="str">
            <v>Md Saddam Hossain Sourav</v>
          </cell>
          <cell r="D293" t="str">
            <v>Executive</v>
          </cell>
          <cell r="E293" t="str">
            <v>Finance &amp; Accounts</v>
          </cell>
          <cell r="F293">
            <v>45361</v>
          </cell>
          <cell r="G293">
            <v>31</v>
          </cell>
          <cell r="H293">
            <v>12</v>
          </cell>
          <cell r="I293">
            <v>5</v>
          </cell>
          <cell r="J293">
            <v>2</v>
          </cell>
          <cell r="K293">
            <v>12</v>
          </cell>
          <cell r="L293"/>
        </row>
        <row r="294">
          <cell r="B294" t="str">
            <v>SQFMD-0907</v>
          </cell>
          <cell r="C294" t="str">
            <v>Md Aslam Uddin</v>
          </cell>
          <cell r="D294" t="str">
            <v>Executive</v>
          </cell>
          <cell r="E294" t="str">
            <v>Finance &amp; Accounts</v>
          </cell>
          <cell r="F294">
            <v>45361</v>
          </cell>
          <cell r="G294">
            <v>31</v>
          </cell>
          <cell r="H294">
            <v>3</v>
          </cell>
          <cell r="I294">
            <v>5</v>
          </cell>
          <cell r="J294">
            <v>2</v>
          </cell>
          <cell r="K294">
            <v>21</v>
          </cell>
          <cell r="L294"/>
        </row>
        <row r="295">
          <cell r="B295" t="str">
            <v>SQFMD-0908</v>
          </cell>
          <cell r="C295" t="str">
            <v>M. Abdus Salam Sardar</v>
          </cell>
          <cell r="D295" t="str">
            <v>Sr. Executive</v>
          </cell>
          <cell r="E295" t="str">
            <v>Audit &amp; Monitoring</v>
          </cell>
          <cell r="F295">
            <v>45361</v>
          </cell>
          <cell r="G295">
            <v>31</v>
          </cell>
          <cell r="H295">
            <v>2</v>
          </cell>
          <cell r="I295">
            <v>5</v>
          </cell>
          <cell r="J295">
            <v>2</v>
          </cell>
          <cell r="K295">
            <v>22</v>
          </cell>
          <cell r="L295"/>
        </row>
        <row r="296">
          <cell r="B296" t="str">
            <v>SQFMD-0909</v>
          </cell>
          <cell r="C296" t="str">
            <v>Md Asaduzzaman</v>
          </cell>
          <cell r="D296" t="str">
            <v>Sr. Territory Sales Officer</v>
          </cell>
          <cell r="E296" t="str">
            <v>Pesticide &amp; Fertilizer</v>
          </cell>
          <cell r="F296">
            <v>45367</v>
          </cell>
          <cell r="G296">
            <v>31</v>
          </cell>
          <cell r="H296">
            <v>0</v>
          </cell>
          <cell r="I296">
            <v>5</v>
          </cell>
          <cell r="J296">
            <v>2</v>
          </cell>
          <cell r="K296">
            <v>24</v>
          </cell>
          <cell r="L296"/>
        </row>
        <row r="297">
          <cell r="B297" t="str">
            <v>SQFMD-0911</v>
          </cell>
          <cell r="C297" t="str">
            <v>Md Rasadul Islam</v>
          </cell>
          <cell r="D297" t="str">
            <v>Sr. Territory Sales Officer</v>
          </cell>
          <cell r="E297" t="str">
            <v>Pesticide &amp; Fertilizer</v>
          </cell>
          <cell r="F297">
            <v>45367</v>
          </cell>
          <cell r="G297">
            <v>31</v>
          </cell>
          <cell r="H297">
            <v>0</v>
          </cell>
          <cell r="I297">
            <v>5</v>
          </cell>
          <cell r="J297">
            <v>2</v>
          </cell>
          <cell r="K297">
            <v>24</v>
          </cell>
          <cell r="L297"/>
        </row>
        <row r="298">
          <cell r="B298" t="str">
            <v>SQFMD-0912</v>
          </cell>
          <cell r="C298" t="str">
            <v>Abdush Salam Pappu</v>
          </cell>
          <cell r="D298" t="str">
            <v>Sr. Recovery Officer</v>
          </cell>
          <cell r="E298" t="str">
            <v>CRRM</v>
          </cell>
          <cell r="F298">
            <v>45367</v>
          </cell>
          <cell r="G298">
            <v>31</v>
          </cell>
          <cell r="H298">
            <v>0</v>
          </cell>
          <cell r="I298">
            <v>5</v>
          </cell>
          <cell r="J298">
            <v>2</v>
          </cell>
          <cell r="K298">
            <v>24</v>
          </cell>
          <cell r="L298"/>
        </row>
        <row r="299">
          <cell r="B299" t="str">
            <v>SQFMD-0913</v>
          </cell>
          <cell r="C299" t="str">
            <v>Md Enamul Hoque</v>
          </cell>
          <cell r="D299" t="str">
            <v>Store Assistant</v>
          </cell>
          <cell r="E299" t="str">
            <v>Store &amp; Logistics</v>
          </cell>
          <cell r="F299">
            <v>45369</v>
          </cell>
          <cell r="G299">
            <v>31</v>
          </cell>
          <cell r="H299">
            <v>0</v>
          </cell>
          <cell r="I299">
            <v>5</v>
          </cell>
          <cell r="J299">
            <v>2</v>
          </cell>
          <cell r="K299">
            <v>24</v>
          </cell>
          <cell r="L299"/>
        </row>
        <row r="300">
          <cell r="B300" t="str">
            <v>SQFMD-0914</v>
          </cell>
          <cell r="C300" t="str">
            <v>Md Abdul Alim</v>
          </cell>
          <cell r="D300" t="str">
            <v>Driver (Van)</v>
          </cell>
          <cell r="E300" t="str">
            <v>Transport</v>
          </cell>
          <cell r="F300">
            <v>45367</v>
          </cell>
          <cell r="G300">
            <v>31</v>
          </cell>
          <cell r="H300">
            <v>0</v>
          </cell>
          <cell r="I300">
            <v>5</v>
          </cell>
          <cell r="J300">
            <v>2</v>
          </cell>
          <cell r="K300">
            <v>24</v>
          </cell>
          <cell r="L300"/>
        </row>
        <row r="301">
          <cell r="B301" t="str">
            <v>SQFMD-0915</v>
          </cell>
          <cell r="C301" t="str">
            <v>Md Rofiqul Islam</v>
          </cell>
          <cell r="D301" t="str">
            <v>Helper (Van)</v>
          </cell>
          <cell r="E301" t="str">
            <v>Transport</v>
          </cell>
          <cell r="F301">
            <v>45367</v>
          </cell>
          <cell r="G301">
            <v>31</v>
          </cell>
          <cell r="H301">
            <v>0</v>
          </cell>
          <cell r="I301">
            <v>5</v>
          </cell>
          <cell r="J301">
            <v>2</v>
          </cell>
          <cell r="K301">
            <v>24</v>
          </cell>
          <cell r="L301"/>
        </row>
        <row r="302">
          <cell r="B302" t="str">
            <v>SQFMD-0916</v>
          </cell>
          <cell r="C302" t="str">
            <v>Md Hazrat Ali</v>
          </cell>
          <cell r="D302" t="str">
            <v>Helper (Lowbed)</v>
          </cell>
          <cell r="E302" t="str">
            <v>Transport</v>
          </cell>
          <cell r="F302">
            <v>45367</v>
          </cell>
          <cell r="G302">
            <v>31</v>
          </cell>
          <cell r="H302">
            <v>1</v>
          </cell>
          <cell r="I302">
            <v>5</v>
          </cell>
          <cell r="J302">
            <v>2</v>
          </cell>
          <cell r="K302">
            <v>23</v>
          </cell>
          <cell r="L302"/>
        </row>
        <row r="303">
          <cell r="B303" t="str">
            <v>SQFMD-0917</v>
          </cell>
          <cell r="C303" t="str">
            <v>Md Raju Ahammed</v>
          </cell>
          <cell r="D303" t="str">
            <v>Sr. Service Engineer</v>
          </cell>
          <cell r="E303" t="str">
            <v>Technical</v>
          </cell>
          <cell r="F303">
            <v>45370</v>
          </cell>
          <cell r="G303">
            <v>31</v>
          </cell>
          <cell r="H303">
            <v>0</v>
          </cell>
          <cell r="I303">
            <v>5</v>
          </cell>
          <cell r="J303">
            <v>2</v>
          </cell>
          <cell r="K303">
            <v>24</v>
          </cell>
          <cell r="L303"/>
        </row>
        <row r="304">
          <cell r="B304" t="str">
            <v>SQFMD-0919</v>
          </cell>
          <cell r="C304" t="str">
            <v>Md Hasib Islam</v>
          </cell>
          <cell r="D304" t="str">
            <v>Mechanic</v>
          </cell>
          <cell r="E304" t="str">
            <v>Technical</v>
          </cell>
          <cell r="F304">
            <v>45371</v>
          </cell>
          <cell r="G304">
            <v>31</v>
          </cell>
          <cell r="H304">
            <v>0</v>
          </cell>
          <cell r="I304">
            <v>5</v>
          </cell>
          <cell r="J304">
            <v>2</v>
          </cell>
          <cell r="K304">
            <v>24</v>
          </cell>
          <cell r="L304"/>
        </row>
        <row r="305">
          <cell r="B305" t="str">
            <v>SQFMD-0920</v>
          </cell>
          <cell r="C305" t="str">
            <v>Md Habibur Rahman</v>
          </cell>
          <cell r="D305" t="str">
            <v>Mechanic</v>
          </cell>
          <cell r="E305" t="str">
            <v>Technical</v>
          </cell>
          <cell r="F305">
            <v>45371</v>
          </cell>
          <cell r="G305">
            <v>31</v>
          </cell>
          <cell r="H305">
            <v>3</v>
          </cell>
          <cell r="I305">
            <v>5</v>
          </cell>
          <cell r="J305">
            <v>2</v>
          </cell>
          <cell r="K305">
            <v>21</v>
          </cell>
          <cell r="L305"/>
        </row>
        <row r="306">
          <cell r="B306" t="str">
            <v>SQFMD-0921</v>
          </cell>
          <cell r="C306" t="str">
            <v>Md Rashel Babu</v>
          </cell>
          <cell r="D306" t="str">
            <v>Mechanic</v>
          </cell>
          <cell r="E306" t="str">
            <v>Technical</v>
          </cell>
          <cell r="F306">
            <v>45362</v>
          </cell>
          <cell r="G306">
            <v>31</v>
          </cell>
          <cell r="H306">
            <v>1</v>
          </cell>
          <cell r="I306">
            <v>5</v>
          </cell>
          <cell r="J306">
            <v>2</v>
          </cell>
          <cell r="K306">
            <v>23</v>
          </cell>
          <cell r="L306">
            <v>1</v>
          </cell>
        </row>
        <row r="307">
          <cell r="B307" t="str">
            <v>SQFMD-0922</v>
          </cell>
          <cell r="C307" t="str">
            <v>Md Imran</v>
          </cell>
          <cell r="D307" t="str">
            <v>Service Engineer</v>
          </cell>
          <cell r="E307" t="str">
            <v>Technical</v>
          </cell>
          <cell r="F307">
            <v>45378</v>
          </cell>
          <cell r="G307">
            <v>31</v>
          </cell>
          <cell r="H307">
            <v>2</v>
          </cell>
          <cell r="I307">
            <v>5</v>
          </cell>
          <cell r="J307">
            <v>2</v>
          </cell>
          <cell r="K307">
            <v>22</v>
          </cell>
          <cell r="L307"/>
        </row>
        <row r="308">
          <cell r="B308" t="str">
            <v>SQFMD-0918</v>
          </cell>
          <cell r="C308" t="str">
            <v>Suzit Kumar Roy</v>
          </cell>
          <cell r="D308" t="str">
            <v>Sr. Recovery Officer</v>
          </cell>
          <cell r="E308" t="str">
            <v>CRRM</v>
          </cell>
          <cell r="F308">
            <v>45384</v>
          </cell>
          <cell r="G308">
            <v>31</v>
          </cell>
          <cell r="H308">
            <v>0</v>
          </cell>
          <cell r="I308">
            <v>5</v>
          </cell>
          <cell r="J308">
            <v>2</v>
          </cell>
          <cell r="K308">
            <v>24</v>
          </cell>
          <cell r="L308"/>
        </row>
        <row r="309">
          <cell r="B309" t="str">
            <v>SQFMD-0923</v>
          </cell>
          <cell r="C309" t="str">
            <v>Md Obaidul Haque</v>
          </cell>
          <cell r="D309" t="str">
            <v>Night Gurd</v>
          </cell>
          <cell r="E309" t="str">
            <v>Seed</v>
          </cell>
          <cell r="F309">
            <v>44917</v>
          </cell>
          <cell r="G309">
            <v>31</v>
          </cell>
          <cell r="H309">
            <v>0</v>
          </cell>
          <cell r="I309">
            <v>5</v>
          </cell>
          <cell r="J309">
            <v>2</v>
          </cell>
          <cell r="K309">
            <v>24</v>
          </cell>
          <cell r="L309"/>
        </row>
        <row r="310">
          <cell r="B310" t="str">
            <v>SQFMD-0924</v>
          </cell>
          <cell r="C310" t="str">
            <v>Md Rahat Howlader</v>
          </cell>
          <cell r="D310" t="str">
            <v>Territory Sales Officer</v>
          </cell>
          <cell r="E310" t="str">
            <v>Seed</v>
          </cell>
          <cell r="F310">
            <v>45385</v>
          </cell>
          <cell r="G310">
            <v>31</v>
          </cell>
          <cell r="H310">
            <v>0</v>
          </cell>
          <cell r="I310">
            <v>5</v>
          </cell>
          <cell r="J310">
            <v>2</v>
          </cell>
          <cell r="K310">
            <v>24</v>
          </cell>
          <cell r="L310"/>
        </row>
        <row r="311">
          <cell r="B311" t="str">
            <v>SQFMD-0925</v>
          </cell>
          <cell r="C311" t="str">
            <v>Russel Ahmed</v>
          </cell>
          <cell r="D311" t="str">
            <v>Sr. Territory Sales Officer</v>
          </cell>
          <cell r="E311" t="str">
            <v>Seed</v>
          </cell>
          <cell r="F311">
            <v>45397</v>
          </cell>
          <cell r="G311">
            <v>31</v>
          </cell>
          <cell r="H311">
            <v>0</v>
          </cell>
          <cell r="I311">
            <v>5</v>
          </cell>
          <cell r="J311">
            <v>2</v>
          </cell>
          <cell r="K311">
            <v>24</v>
          </cell>
          <cell r="L311"/>
        </row>
        <row r="312">
          <cell r="B312" t="str">
            <v>SQFMD-0926</v>
          </cell>
          <cell r="C312" t="str">
            <v>Abdur Rahman</v>
          </cell>
          <cell r="D312" t="str">
            <v>Sr. Executive</v>
          </cell>
          <cell r="E312" t="str">
            <v>Auditor &amp; Monitoring</v>
          </cell>
          <cell r="F312">
            <v>45397</v>
          </cell>
          <cell r="G312">
            <v>31</v>
          </cell>
          <cell r="H312">
            <v>3</v>
          </cell>
          <cell r="I312">
            <v>5</v>
          </cell>
          <cell r="J312">
            <v>2</v>
          </cell>
          <cell r="K312">
            <v>21</v>
          </cell>
          <cell r="L312"/>
        </row>
        <row r="313">
          <cell r="B313" t="str">
            <v>SQFMD-0927</v>
          </cell>
          <cell r="C313" t="str">
            <v>Md Khorshed Alam</v>
          </cell>
          <cell r="D313" t="str">
            <v>Accounts Officer</v>
          </cell>
          <cell r="E313" t="str">
            <v>F&amp;A</v>
          </cell>
          <cell r="F313">
            <v>45397</v>
          </cell>
          <cell r="G313">
            <v>31</v>
          </cell>
          <cell r="H313">
            <v>0</v>
          </cell>
          <cell r="I313">
            <v>5</v>
          </cell>
          <cell r="J313">
            <v>2</v>
          </cell>
          <cell r="K313">
            <v>24</v>
          </cell>
          <cell r="L313"/>
        </row>
        <row r="314">
          <cell r="B314" t="str">
            <v>SQFMD-0928</v>
          </cell>
          <cell r="C314" t="str">
            <v>Md Abdur Rahim</v>
          </cell>
          <cell r="D314" t="str">
            <v>Accounts Officer</v>
          </cell>
          <cell r="E314" t="str">
            <v>F&amp;A</v>
          </cell>
          <cell r="F314">
            <v>45397</v>
          </cell>
          <cell r="G314">
            <v>31</v>
          </cell>
          <cell r="H314">
            <v>0</v>
          </cell>
          <cell r="I314">
            <v>5</v>
          </cell>
          <cell r="J314">
            <v>2</v>
          </cell>
          <cell r="K314">
            <v>24</v>
          </cell>
          <cell r="L314"/>
        </row>
        <row r="315">
          <cell r="B315" t="str">
            <v>SQFMD-0929</v>
          </cell>
          <cell r="C315" t="str">
            <v>Mizanur Rahman</v>
          </cell>
          <cell r="D315" t="str">
            <v>Mechanic</v>
          </cell>
          <cell r="E315" t="str">
            <v>Technical</v>
          </cell>
          <cell r="F315">
            <v>45397</v>
          </cell>
          <cell r="G315">
            <v>31</v>
          </cell>
          <cell r="H315">
            <v>1</v>
          </cell>
          <cell r="I315">
            <v>5</v>
          </cell>
          <cell r="J315">
            <v>2</v>
          </cell>
          <cell r="K315">
            <v>23</v>
          </cell>
          <cell r="L315"/>
        </row>
        <row r="316">
          <cell r="B316" t="str">
            <v>SQFMD-0930</v>
          </cell>
          <cell r="C316" t="str">
            <v>Md Saidul Islam</v>
          </cell>
          <cell r="D316" t="str">
            <v>Mechanic</v>
          </cell>
          <cell r="E316" t="str">
            <v>Technical</v>
          </cell>
          <cell r="F316">
            <v>45397</v>
          </cell>
          <cell r="G316">
            <v>31</v>
          </cell>
          <cell r="H316">
            <v>0</v>
          </cell>
          <cell r="I316">
            <v>5</v>
          </cell>
          <cell r="J316">
            <v>2</v>
          </cell>
          <cell r="K316">
            <v>24</v>
          </cell>
          <cell r="L316"/>
        </row>
        <row r="317">
          <cell r="B317" t="str">
            <v>SQFMD-0931</v>
          </cell>
          <cell r="C317" t="str">
            <v>Md Hasin Ul Ahsan</v>
          </cell>
          <cell r="D317" t="str">
            <v>Territory Sales Officer</v>
          </cell>
          <cell r="E317" t="str">
            <v>Pesticide &amp; Fertilizer</v>
          </cell>
          <cell r="F317">
            <v>45398</v>
          </cell>
          <cell r="G317">
            <v>31</v>
          </cell>
          <cell r="H317">
            <v>0</v>
          </cell>
          <cell r="I317">
            <v>5</v>
          </cell>
          <cell r="J317">
            <v>2</v>
          </cell>
          <cell r="K317">
            <v>24</v>
          </cell>
          <cell r="L317"/>
        </row>
        <row r="318">
          <cell r="B318" t="str">
            <v>SQFMD-0933</v>
          </cell>
          <cell r="C318" t="str">
            <v>Md Shujon Ali</v>
          </cell>
          <cell r="D318" t="str">
            <v>Territory Sales Officer</v>
          </cell>
          <cell r="E318" t="str">
            <v>Pesticide &amp; Fertilizer</v>
          </cell>
          <cell r="F318">
            <v>45398</v>
          </cell>
          <cell r="G318">
            <v>31</v>
          </cell>
          <cell r="H318">
            <v>0</v>
          </cell>
          <cell r="I318">
            <v>5</v>
          </cell>
          <cell r="J318">
            <v>2</v>
          </cell>
          <cell r="K318">
            <v>24</v>
          </cell>
          <cell r="L318"/>
        </row>
        <row r="319">
          <cell r="B319" t="str">
            <v>SQFMD-0934</v>
          </cell>
          <cell r="C319" t="str">
            <v>Md Harun Or Rashid</v>
          </cell>
          <cell r="D319" t="str">
            <v>Territory Sales Officer</v>
          </cell>
          <cell r="E319" t="str">
            <v>Pesticide &amp; Fertilizer</v>
          </cell>
          <cell r="F319">
            <v>45398</v>
          </cell>
          <cell r="G319">
            <v>31</v>
          </cell>
          <cell r="H319">
            <v>0</v>
          </cell>
          <cell r="I319">
            <v>5</v>
          </cell>
          <cell r="J319">
            <v>2</v>
          </cell>
          <cell r="K319">
            <v>24</v>
          </cell>
          <cell r="L319"/>
        </row>
        <row r="320">
          <cell r="B320" t="str">
            <v>SQFMD-0935</v>
          </cell>
          <cell r="C320" t="str">
            <v>Alamgir</v>
          </cell>
          <cell r="D320" t="str">
            <v>Territory Sales Officer</v>
          </cell>
          <cell r="E320" t="str">
            <v>Pesticide &amp; Fertilizer</v>
          </cell>
          <cell r="F320">
            <v>45398</v>
          </cell>
          <cell r="G320">
            <v>31</v>
          </cell>
          <cell r="H320">
            <v>0</v>
          </cell>
          <cell r="I320">
            <v>5</v>
          </cell>
          <cell r="J320">
            <v>2</v>
          </cell>
          <cell r="K320">
            <v>24</v>
          </cell>
          <cell r="L320"/>
        </row>
        <row r="321">
          <cell r="B321" t="str">
            <v>SQFMD-0936</v>
          </cell>
          <cell r="C321" t="str">
            <v>Md Amirul Islam</v>
          </cell>
          <cell r="D321" t="str">
            <v>Territory Sales Officer</v>
          </cell>
          <cell r="E321" t="str">
            <v>Pesticide &amp; Fertilizer</v>
          </cell>
          <cell r="F321">
            <v>45398</v>
          </cell>
          <cell r="G321">
            <v>31</v>
          </cell>
          <cell r="H321">
            <v>0</v>
          </cell>
          <cell r="I321">
            <v>5</v>
          </cell>
          <cell r="J321">
            <v>2</v>
          </cell>
          <cell r="K321">
            <v>24</v>
          </cell>
          <cell r="L321"/>
        </row>
        <row r="322">
          <cell r="B322" t="str">
            <v>SQFMD-0937</v>
          </cell>
          <cell r="C322" t="str">
            <v>Md Mithu Mia</v>
          </cell>
          <cell r="D322" t="str">
            <v>Territory Sales Officer</v>
          </cell>
          <cell r="E322" t="str">
            <v>Pesticide &amp; Fertilizer</v>
          </cell>
          <cell r="F322">
            <v>45398</v>
          </cell>
          <cell r="G322">
            <v>31</v>
          </cell>
          <cell r="H322">
            <v>0</v>
          </cell>
          <cell r="I322">
            <v>5</v>
          </cell>
          <cell r="J322">
            <v>2</v>
          </cell>
          <cell r="K322">
            <v>24</v>
          </cell>
          <cell r="L322"/>
        </row>
        <row r="323">
          <cell r="B323" t="str">
            <v>SQFMD-0938</v>
          </cell>
          <cell r="C323" t="str">
            <v>Md Nura Alam</v>
          </cell>
          <cell r="D323" t="str">
            <v>Assistant Territory Sales officer</v>
          </cell>
          <cell r="E323" t="str">
            <v>Pesticide &amp; Fertilizer</v>
          </cell>
          <cell r="F323">
            <v>45398</v>
          </cell>
          <cell r="G323">
            <v>31</v>
          </cell>
          <cell r="H323">
            <v>0</v>
          </cell>
          <cell r="I323">
            <v>5</v>
          </cell>
          <cell r="J323">
            <v>2</v>
          </cell>
          <cell r="K323">
            <v>24</v>
          </cell>
          <cell r="L323"/>
        </row>
        <row r="324">
          <cell r="B324" t="str">
            <v>SQFMD-0939</v>
          </cell>
          <cell r="C324" t="str">
            <v>Md Ariful Islam</v>
          </cell>
          <cell r="D324" t="str">
            <v>Assistant Territory Sales officer</v>
          </cell>
          <cell r="E324" t="str">
            <v>Pesticide &amp; Fertilizer</v>
          </cell>
          <cell r="F324">
            <v>45398</v>
          </cell>
          <cell r="G324">
            <v>31</v>
          </cell>
          <cell r="H324">
            <v>0</v>
          </cell>
          <cell r="I324">
            <v>5</v>
          </cell>
          <cell r="J324">
            <v>2</v>
          </cell>
          <cell r="K324">
            <v>24</v>
          </cell>
          <cell r="L324"/>
        </row>
        <row r="325">
          <cell r="B325" t="str">
            <v>SQFMD-0940</v>
          </cell>
          <cell r="C325" t="str">
            <v>Md Kabir Hosen</v>
          </cell>
          <cell r="D325" t="str">
            <v>Territory Sales Officer</v>
          </cell>
          <cell r="E325" t="str">
            <v>Pesticide &amp; Fertilizer</v>
          </cell>
          <cell r="F325">
            <v>45398</v>
          </cell>
          <cell r="G325">
            <v>31</v>
          </cell>
          <cell r="H325">
            <v>0</v>
          </cell>
          <cell r="I325">
            <v>5</v>
          </cell>
          <cell r="J325">
            <v>2</v>
          </cell>
          <cell r="K325">
            <v>24</v>
          </cell>
          <cell r="L325"/>
        </row>
        <row r="326">
          <cell r="B326" t="str">
            <v>SQFMD-0941</v>
          </cell>
          <cell r="C326" t="str">
            <v>Nazmul Haque</v>
          </cell>
          <cell r="D326" t="str">
            <v>Sr. Territory Sales Officer</v>
          </cell>
          <cell r="E326" t="str">
            <v>Seed</v>
          </cell>
          <cell r="F326">
            <v>45398</v>
          </cell>
          <cell r="G326">
            <v>31</v>
          </cell>
          <cell r="H326">
            <v>0</v>
          </cell>
          <cell r="I326">
            <v>5</v>
          </cell>
          <cell r="J326">
            <v>2</v>
          </cell>
          <cell r="K326">
            <v>24</v>
          </cell>
          <cell r="L326"/>
        </row>
        <row r="327">
          <cell r="B327" t="str">
            <v>SQFMD-0942</v>
          </cell>
          <cell r="C327" t="str">
            <v>Md Anarul Islam</v>
          </cell>
          <cell r="D327" t="str">
            <v>Sr. Mechanic</v>
          </cell>
          <cell r="E327" t="str">
            <v>Technical</v>
          </cell>
          <cell r="F327">
            <v>45397</v>
          </cell>
          <cell r="G327">
            <v>31</v>
          </cell>
          <cell r="H327">
            <v>0</v>
          </cell>
          <cell r="I327">
            <v>5</v>
          </cell>
          <cell r="J327">
            <v>2</v>
          </cell>
          <cell r="K327">
            <v>24</v>
          </cell>
          <cell r="L327"/>
        </row>
        <row r="328">
          <cell r="B328" t="str">
            <v>SQFMD-0943</v>
          </cell>
          <cell r="C328" t="str">
            <v>Md Shahin Alam</v>
          </cell>
          <cell r="D328" t="str">
            <v>Sr. Mechanic</v>
          </cell>
          <cell r="E328" t="str">
            <v>Technical</v>
          </cell>
          <cell r="F328">
            <v>45400</v>
          </cell>
          <cell r="G328">
            <v>31</v>
          </cell>
          <cell r="H328">
            <v>0</v>
          </cell>
          <cell r="I328">
            <v>5</v>
          </cell>
          <cell r="J328">
            <v>2</v>
          </cell>
          <cell r="K328">
            <v>24</v>
          </cell>
          <cell r="L328"/>
        </row>
        <row r="329">
          <cell r="B329" t="str">
            <v>SQFMD-0944</v>
          </cell>
          <cell r="C329" t="str">
            <v>Md Yousuf Miah</v>
          </cell>
          <cell r="D329" t="str">
            <v>Mechanic</v>
          </cell>
          <cell r="E329" t="str">
            <v>Technical</v>
          </cell>
          <cell r="F329">
            <v>45397</v>
          </cell>
          <cell r="G329">
            <v>31</v>
          </cell>
          <cell r="H329">
            <v>0</v>
          </cell>
          <cell r="I329">
            <v>5</v>
          </cell>
          <cell r="J329">
            <v>2</v>
          </cell>
          <cell r="K329">
            <v>24</v>
          </cell>
          <cell r="L329"/>
        </row>
        <row r="330">
          <cell r="B330" t="str">
            <v>SQFMD-0945</v>
          </cell>
          <cell r="C330" t="str">
            <v>Shahinur Zaman</v>
          </cell>
          <cell r="D330" t="str">
            <v>Junior Mechanic</v>
          </cell>
          <cell r="E330" t="str">
            <v>Technical</v>
          </cell>
          <cell r="F330">
            <v>45384</v>
          </cell>
          <cell r="G330">
            <v>31</v>
          </cell>
          <cell r="H330">
            <v>0</v>
          </cell>
          <cell r="I330">
            <v>5</v>
          </cell>
          <cell r="J330">
            <v>2</v>
          </cell>
          <cell r="K330">
            <v>24</v>
          </cell>
          <cell r="L330"/>
        </row>
        <row r="331">
          <cell r="B331" t="str">
            <v>SQFMD-0946</v>
          </cell>
          <cell r="C331" t="str">
            <v>Md Hasinur Roshid</v>
          </cell>
          <cell r="D331" t="str">
            <v>Mechanic</v>
          </cell>
          <cell r="E331" t="str">
            <v>Technical</v>
          </cell>
          <cell r="F331">
            <v>45398</v>
          </cell>
          <cell r="G331">
            <v>31</v>
          </cell>
          <cell r="H331">
            <v>0</v>
          </cell>
          <cell r="I331">
            <v>5</v>
          </cell>
          <cell r="J331">
            <v>2</v>
          </cell>
          <cell r="K331">
            <v>24</v>
          </cell>
          <cell r="L331"/>
        </row>
        <row r="332">
          <cell r="B332" t="str">
            <v>SQFMD-0947</v>
          </cell>
          <cell r="C332" t="str">
            <v>Md Masud Ali</v>
          </cell>
          <cell r="D332" t="str">
            <v>Mechanic</v>
          </cell>
          <cell r="E332" t="str">
            <v>Technical</v>
          </cell>
          <cell r="F332">
            <v>45398</v>
          </cell>
          <cell r="G332">
            <v>31</v>
          </cell>
          <cell r="H332">
            <v>2</v>
          </cell>
          <cell r="I332">
            <v>5</v>
          </cell>
          <cell r="J332">
            <v>2</v>
          </cell>
          <cell r="K332">
            <v>22</v>
          </cell>
          <cell r="L332"/>
        </row>
        <row r="333">
          <cell r="B333" t="str">
            <v>SQFMD-0948</v>
          </cell>
          <cell r="C333" t="str">
            <v>Md Ainul Islam</v>
          </cell>
          <cell r="D333" t="str">
            <v>Mechanic</v>
          </cell>
          <cell r="E333" t="str">
            <v>Technical</v>
          </cell>
          <cell r="F333">
            <v>45388</v>
          </cell>
          <cell r="G333">
            <v>31</v>
          </cell>
          <cell r="H333">
            <v>0</v>
          </cell>
          <cell r="I333">
            <v>5</v>
          </cell>
          <cell r="J333">
            <v>2</v>
          </cell>
          <cell r="K333">
            <v>24</v>
          </cell>
          <cell r="L333"/>
        </row>
        <row r="334">
          <cell r="B334" t="str">
            <v>SQFMD-0949</v>
          </cell>
          <cell r="C334" t="str">
            <v>Masud Mia</v>
          </cell>
          <cell r="D334" t="str">
            <v>Mechanic</v>
          </cell>
          <cell r="E334" t="str">
            <v>Technical</v>
          </cell>
          <cell r="F334">
            <v>45402</v>
          </cell>
          <cell r="G334">
            <v>31</v>
          </cell>
          <cell r="H334">
            <v>0</v>
          </cell>
          <cell r="I334">
            <v>5</v>
          </cell>
          <cell r="J334">
            <v>2</v>
          </cell>
          <cell r="K334">
            <v>24</v>
          </cell>
          <cell r="L334"/>
        </row>
        <row r="335">
          <cell r="B335" t="str">
            <v>SQFMD-0950</v>
          </cell>
          <cell r="C335" t="str">
            <v>ABM Nizam Uddin</v>
          </cell>
          <cell r="D335" t="str">
            <v>Assistant Manager-Recovery</v>
          </cell>
          <cell r="E335" t="str">
            <v>S&amp;M</v>
          </cell>
          <cell r="F335">
            <v>45414</v>
          </cell>
          <cell r="G335">
            <v>31</v>
          </cell>
          <cell r="H335">
            <v>0</v>
          </cell>
          <cell r="I335">
            <v>5</v>
          </cell>
          <cell r="J335">
            <v>2</v>
          </cell>
          <cell r="K335">
            <v>24</v>
          </cell>
          <cell r="L335">
            <v>1</v>
          </cell>
        </row>
        <row r="336">
          <cell r="B336" t="str">
            <v>SQFMD-0951</v>
          </cell>
          <cell r="C336" t="str">
            <v>Md Arnof Ahmed</v>
          </cell>
          <cell r="D336" t="str">
            <v>Lowbed Helper</v>
          </cell>
          <cell r="E336" t="str">
            <v>Transport</v>
          </cell>
          <cell r="F336">
            <v>45414</v>
          </cell>
          <cell r="G336">
            <v>31</v>
          </cell>
          <cell r="H336">
            <v>0</v>
          </cell>
          <cell r="I336">
            <v>5</v>
          </cell>
          <cell r="J336">
            <v>2</v>
          </cell>
          <cell r="K336">
            <v>24</v>
          </cell>
          <cell r="L336">
            <v>1</v>
          </cell>
        </row>
        <row r="337">
          <cell r="B337" t="str">
            <v>SQFMD-0952</v>
          </cell>
          <cell r="C337" t="str">
            <v>Md Forhad Hosen</v>
          </cell>
          <cell r="D337" t="str">
            <v>Sr. Territory Sales Officer</v>
          </cell>
          <cell r="E337" t="str">
            <v>Seed</v>
          </cell>
          <cell r="F337">
            <v>45416</v>
          </cell>
          <cell r="G337">
            <v>31</v>
          </cell>
          <cell r="H337">
            <v>0</v>
          </cell>
          <cell r="I337">
            <v>5</v>
          </cell>
          <cell r="J337">
            <v>2</v>
          </cell>
          <cell r="K337">
            <v>24</v>
          </cell>
          <cell r="L337">
            <v>3</v>
          </cell>
        </row>
        <row r="338">
          <cell r="B338" t="str">
            <v>SQFMD-0953</v>
          </cell>
          <cell r="C338" t="str">
            <v>Mohammed Iftekher Alam</v>
          </cell>
          <cell r="D338" t="str">
            <v>Consultant-BSFIC</v>
          </cell>
          <cell r="E338" t="str">
            <v>R&amp;D</v>
          </cell>
          <cell r="F338">
            <v>45405</v>
          </cell>
          <cell r="G338">
            <v>31</v>
          </cell>
          <cell r="H338">
            <v>0</v>
          </cell>
          <cell r="I338">
            <v>5</v>
          </cell>
          <cell r="J338">
            <v>2</v>
          </cell>
          <cell r="K338">
            <v>24</v>
          </cell>
          <cell r="L338"/>
        </row>
        <row r="339">
          <cell r="B339" t="str">
            <v>SQFMD-0957</v>
          </cell>
          <cell r="C339" t="str">
            <v>Md Sarab Hossen Murad</v>
          </cell>
          <cell r="D339" t="str">
            <v>Driver</v>
          </cell>
          <cell r="E339" t="str">
            <v>Transport</v>
          </cell>
          <cell r="F339">
            <v>45440</v>
          </cell>
          <cell r="G339">
            <v>31</v>
          </cell>
          <cell r="H339">
            <v>0</v>
          </cell>
          <cell r="I339">
            <v>5</v>
          </cell>
          <cell r="J339">
            <v>2</v>
          </cell>
          <cell r="K339">
            <v>24</v>
          </cell>
          <cell r="L339">
            <v>27</v>
          </cell>
        </row>
        <row r="340">
          <cell r="B340"/>
          <cell r="C340"/>
          <cell r="D340"/>
          <cell r="E340"/>
          <cell r="F340"/>
          <cell r="G340"/>
          <cell r="H340"/>
          <cell r="I340"/>
          <cell r="J340"/>
          <cell r="K340"/>
          <cell r="L340"/>
        </row>
        <row r="341">
          <cell r="B341"/>
          <cell r="C341"/>
          <cell r="D341"/>
          <cell r="E341"/>
          <cell r="F341"/>
          <cell r="G341"/>
          <cell r="H341"/>
          <cell r="I341"/>
          <cell r="J341"/>
          <cell r="K341"/>
          <cell r="L341"/>
        </row>
        <row r="342">
          <cell r="B342"/>
          <cell r="C342"/>
          <cell r="D342"/>
          <cell r="E342"/>
          <cell r="F342"/>
          <cell r="G342"/>
          <cell r="H342"/>
          <cell r="I342"/>
          <cell r="J342"/>
          <cell r="K342"/>
          <cell r="L342"/>
        </row>
        <row r="343">
          <cell r="B343"/>
          <cell r="C343"/>
          <cell r="D343"/>
          <cell r="E343"/>
          <cell r="F343"/>
          <cell r="G343"/>
          <cell r="H343"/>
          <cell r="I343"/>
          <cell r="J343"/>
          <cell r="K343"/>
          <cell r="L343"/>
        </row>
        <row r="344">
          <cell r="B344"/>
          <cell r="C344"/>
          <cell r="D344"/>
          <cell r="E344"/>
          <cell r="F344"/>
          <cell r="G344"/>
          <cell r="H344"/>
          <cell r="I344"/>
          <cell r="J344"/>
          <cell r="K344"/>
          <cell r="L344"/>
        </row>
        <row r="345">
          <cell r="B345"/>
          <cell r="C345"/>
          <cell r="D345"/>
          <cell r="E345"/>
          <cell r="F345"/>
          <cell r="G345"/>
          <cell r="H345"/>
          <cell r="I345"/>
          <cell r="J345"/>
          <cell r="K345"/>
          <cell r="L345"/>
        </row>
        <row r="346">
          <cell r="B346"/>
          <cell r="C346"/>
          <cell r="D346"/>
          <cell r="E346"/>
          <cell r="F346"/>
          <cell r="G346"/>
          <cell r="H346"/>
          <cell r="I346"/>
          <cell r="J346"/>
          <cell r="K346"/>
          <cell r="L346"/>
        </row>
        <row r="347">
          <cell r="B347"/>
          <cell r="C347"/>
          <cell r="D347"/>
          <cell r="E347"/>
          <cell r="F347"/>
          <cell r="G347"/>
          <cell r="H347"/>
          <cell r="I347"/>
          <cell r="J347"/>
          <cell r="K347"/>
          <cell r="L347"/>
        </row>
        <row r="348">
          <cell r="B348"/>
          <cell r="C348"/>
          <cell r="D348"/>
          <cell r="E348"/>
          <cell r="F348"/>
          <cell r="G348"/>
          <cell r="H348"/>
          <cell r="I348"/>
          <cell r="J348"/>
          <cell r="K348"/>
          <cell r="L348"/>
        </row>
        <row r="349">
          <cell r="B349"/>
          <cell r="C349"/>
          <cell r="D349"/>
          <cell r="E349"/>
          <cell r="F349"/>
          <cell r="G349"/>
          <cell r="H349"/>
          <cell r="I349"/>
          <cell r="J349"/>
          <cell r="K349"/>
          <cell r="L349"/>
        </row>
        <row r="350">
          <cell r="B350"/>
          <cell r="C350"/>
          <cell r="D350"/>
          <cell r="E350"/>
          <cell r="F350"/>
          <cell r="G350"/>
          <cell r="H350"/>
          <cell r="I350"/>
          <cell r="J350"/>
          <cell r="K350"/>
          <cell r="L350"/>
        </row>
        <row r="351">
          <cell r="B351"/>
          <cell r="C351"/>
          <cell r="D351"/>
          <cell r="E351"/>
          <cell r="F351"/>
          <cell r="G351"/>
          <cell r="H351"/>
          <cell r="I351"/>
          <cell r="J351"/>
          <cell r="K351"/>
          <cell r="L351"/>
        </row>
        <row r="352">
          <cell r="B352"/>
          <cell r="C352"/>
          <cell r="D352"/>
          <cell r="E352"/>
          <cell r="F352"/>
          <cell r="G352"/>
          <cell r="H352"/>
          <cell r="I352"/>
          <cell r="J352"/>
          <cell r="K352"/>
          <cell r="L352"/>
        </row>
        <row r="353">
          <cell r="B353"/>
          <cell r="C353"/>
          <cell r="D353"/>
          <cell r="E353"/>
          <cell r="F353"/>
          <cell r="G353"/>
          <cell r="H353"/>
          <cell r="I353"/>
          <cell r="J353"/>
          <cell r="K353"/>
          <cell r="L353"/>
        </row>
        <row r="354">
          <cell r="B354"/>
          <cell r="C354"/>
          <cell r="D354"/>
          <cell r="E354"/>
          <cell r="F354"/>
          <cell r="G354"/>
          <cell r="H354"/>
          <cell r="I354"/>
          <cell r="J354"/>
          <cell r="K354"/>
          <cell r="L354"/>
        </row>
        <row r="355">
          <cell r="B355"/>
          <cell r="C355"/>
          <cell r="D355"/>
          <cell r="E355"/>
          <cell r="F355"/>
          <cell r="G355"/>
          <cell r="H355"/>
          <cell r="I355"/>
          <cell r="J355"/>
          <cell r="K355"/>
          <cell r="L355"/>
        </row>
        <row r="356">
          <cell r="B356"/>
          <cell r="C356"/>
          <cell r="D356"/>
          <cell r="E356"/>
          <cell r="F356"/>
          <cell r="G356"/>
          <cell r="H356"/>
          <cell r="I356"/>
          <cell r="J356"/>
          <cell r="K356"/>
          <cell r="L356"/>
        </row>
        <row r="357">
          <cell r="B357"/>
          <cell r="C357"/>
          <cell r="D357"/>
          <cell r="E357"/>
          <cell r="F357"/>
          <cell r="G357"/>
          <cell r="H357"/>
          <cell r="I357"/>
          <cell r="J357"/>
          <cell r="K357"/>
          <cell r="L357"/>
        </row>
        <row r="358">
          <cell r="B358"/>
          <cell r="C358"/>
          <cell r="D358"/>
          <cell r="E358"/>
          <cell r="F358"/>
          <cell r="G358"/>
          <cell r="H358"/>
          <cell r="I358"/>
          <cell r="J358"/>
          <cell r="K358"/>
          <cell r="L358"/>
        </row>
        <row r="359">
          <cell r="B359"/>
          <cell r="C359"/>
          <cell r="D359"/>
          <cell r="E359"/>
          <cell r="F359"/>
          <cell r="G359"/>
          <cell r="H359"/>
          <cell r="I359"/>
          <cell r="J359"/>
          <cell r="K359"/>
          <cell r="L359"/>
        </row>
        <row r="360">
          <cell r="B360"/>
          <cell r="C360"/>
          <cell r="D360"/>
          <cell r="E360"/>
          <cell r="F360"/>
          <cell r="G360"/>
          <cell r="H360"/>
          <cell r="I360"/>
          <cell r="J360"/>
          <cell r="K360"/>
          <cell r="L360"/>
        </row>
        <row r="361">
          <cell r="B361"/>
          <cell r="C361"/>
          <cell r="D361"/>
          <cell r="E361"/>
          <cell r="F361"/>
          <cell r="G361"/>
          <cell r="H361"/>
          <cell r="I361"/>
          <cell r="J361"/>
          <cell r="K361"/>
          <cell r="L361"/>
        </row>
        <row r="362">
          <cell r="B362"/>
          <cell r="C362"/>
          <cell r="D362"/>
          <cell r="E362"/>
          <cell r="F362"/>
          <cell r="G362"/>
          <cell r="H362"/>
          <cell r="I362"/>
          <cell r="J362"/>
          <cell r="K362"/>
          <cell r="L362"/>
        </row>
        <row r="363">
          <cell r="B363"/>
          <cell r="C363"/>
          <cell r="D363"/>
          <cell r="E363"/>
          <cell r="F363"/>
          <cell r="G363"/>
          <cell r="H363"/>
          <cell r="I363"/>
          <cell r="J363"/>
          <cell r="K363"/>
          <cell r="L363"/>
        </row>
        <row r="364">
          <cell r="B364"/>
          <cell r="C364"/>
          <cell r="D364"/>
          <cell r="E364"/>
          <cell r="F364"/>
          <cell r="G364"/>
          <cell r="H364"/>
          <cell r="I364"/>
          <cell r="J364"/>
          <cell r="K364"/>
          <cell r="L364"/>
        </row>
        <row r="365">
          <cell r="B365"/>
          <cell r="C365"/>
          <cell r="D365"/>
          <cell r="E365"/>
          <cell r="F365"/>
          <cell r="G365"/>
          <cell r="H365"/>
          <cell r="I365"/>
          <cell r="J365"/>
          <cell r="K365"/>
          <cell r="L365"/>
        </row>
        <row r="366">
          <cell r="B366"/>
          <cell r="C366"/>
          <cell r="D366"/>
          <cell r="E366"/>
          <cell r="F366"/>
          <cell r="G366"/>
          <cell r="H366"/>
          <cell r="I366"/>
          <cell r="J366"/>
          <cell r="K366"/>
          <cell r="L366"/>
        </row>
        <row r="367">
          <cell r="B367"/>
          <cell r="C367"/>
          <cell r="D367"/>
          <cell r="E367"/>
          <cell r="F367"/>
          <cell r="G367"/>
          <cell r="H367"/>
          <cell r="I367"/>
          <cell r="J367"/>
          <cell r="K367"/>
          <cell r="L367"/>
        </row>
        <row r="368">
          <cell r="B368"/>
          <cell r="C368"/>
          <cell r="D368"/>
          <cell r="E368"/>
          <cell r="F368"/>
          <cell r="G368"/>
          <cell r="H368"/>
          <cell r="I368"/>
          <cell r="J368"/>
          <cell r="K368"/>
          <cell r="L368"/>
        </row>
        <row r="369">
          <cell r="B369"/>
          <cell r="C369"/>
          <cell r="D369"/>
          <cell r="E369"/>
          <cell r="F369"/>
          <cell r="G369"/>
          <cell r="H369"/>
          <cell r="I369"/>
          <cell r="J369"/>
          <cell r="K369"/>
          <cell r="L369"/>
        </row>
        <row r="370">
          <cell r="B370"/>
          <cell r="C370"/>
          <cell r="D370"/>
          <cell r="E370"/>
          <cell r="F370"/>
          <cell r="G370"/>
          <cell r="H370"/>
          <cell r="I370"/>
          <cell r="J370"/>
          <cell r="K370"/>
          <cell r="L370"/>
        </row>
        <row r="371">
          <cell r="B371"/>
          <cell r="C371"/>
          <cell r="D371"/>
          <cell r="E371"/>
          <cell r="F371"/>
          <cell r="G371"/>
          <cell r="H371"/>
          <cell r="I371"/>
          <cell r="J371"/>
          <cell r="K371"/>
          <cell r="L371"/>
        </row>
        <row r="372">
          <cell r="B372"/>
          <cell r="C372"/>
          <cell r="D372"/>
          <cell r="E372"/>
          <cell r="F372"/>
          <cell r="G372"/>
          <cell r="H372"/>
          <cell r="I372"/>
          <cell r="J372"/>
          <cell r="K372"/>
          <cell r="L372"/>
        </row>
        <row r="373">
          <cell r="B373"/>
          <cell r="C373"/>
          <cell r="D373"/>
          <cell r="E373"/>
          <cell r="F373"/>
          <cell r="G373"/>
          <cell r="H373"/>
          <cell r="I373"/>
          <cell r="J373"/>
          <cell r="K373"/>
          <cell r="L373"/>
        </row>
        <row r="374">
          <cell r="B374"/>
          <cell r="C374"/>
          <cell r="D374"/>
          <cell r="E374"/>
          <cell r="F374"/>
          <cell r="G374"/>
          <cell r="H374"/>
          <cell r="I374"/>
          <cell r="J374"/>
          <cell r="K374"/>
          <cell r="L374"/>
        </row>
        <row r="375">
          <cell r="B375"/>
          <cell r="C375"/>
          <cell r="D375"/>
          <cell r="E375"/>
          <cell r="F375"/>
          <cell r="G375"/>
          <cell r="H375"/>
          <cell r="I375"/>
          <cell r="J375"/>
          <cell r="K375"/>
          <cell r="L375"/>
        </row>
        <row r="376">
          <cell r="B376"/>
          <cell r="C376"/>
          <cell r="D376"/>
          <cell r="E376"/>
          <cell r="F376"/>
          <cell r="G376"/>
          <cell r="H376"/>
          <cell r="I376"/>
          <cell r="J376"/>
          <cell r="K376"/>
          <cell r="L376"/>
        </row>
        <row r="377">
          <cell r="B377"/>
          <cell r="C377"/>
          <cell r="D377"/>
          <cell r="E377"/>
          <cell r="F377"/>
          <cell r="G377"/>
          <cell r="H377"/>
          <cell r="I377"/>
          <cell r="J377"/>
          <cell r="K377"/>
          <cell r="L377"/>
        </row>
        <row r="378">
          <cell r="B378"/>
          <cell r="C378"/>
          <cell r="D378"/>
          <cell r="E378"/>
          <cell r="F378"/>
          <cell r="G378"/>
          <cell r="H378"/>
          <cell r="I378"/>
          <cell r="J378"/>
          <cell r="K378"/>
          <cell r="L378"/>
        </row>
        <row r="379">
          <cell r="B379"/>
          <cell r="C379"/>
          <cell r="D379"/>
          <cell r="E379"/>
          <cell r="F379"/>
          <cell r="G379"/>
          <cell r="H379"/>
          <cell r="I379"/>
          <cell r="J379"/>
          <cell r="K379"/>
          <cell r="L379"/>
        </row>
        <row r="380">
          <cell r="B380"/>
          <cell r="C380"/>
          <cell r="D380"/>
          <cell r="E380"/>
          <cell r="F380"/>
          <cell r="G380"/>
          <cell r="H380"/>
          <cell r="I380"/>
          <cell r="J380"/>
          <cell r="K380"/>
          <cell r="L380"/>
        </row>
        <row r="381">
          <cell r="B381"/>
          <cell r="C381"/>
          <cell r="D381"/>
          <cell r="E381"/>
          <cell r="F381"/>
          <cell r="G381"/>
          <cell r="H381"/>
          <cell r="I381"/>
          <cell r="J381"/>
          <cell r="K381"/>
          <cell r="L381"/>
        </row>
        <row r="382">
          <cell r="B382"/>
          <cell r="C382"/>
          <cell r="D382"/>
          <cell r="E382"/>
          <cell r="F382"/>
          <cell r="G382"/>
          <cell r="H382"/>
          <cell r="I382"/>
          <cell r="J382"/>
          <cell r="K382"/>
          <cell r="L382"/>
        </row>
        <row r="383">
          <cell r="B383"/>
          <cell r="C383"/>
          <cell r="D383"/>
          <cell r="E383"/>
          <cell r="F383"/>
          <cell r="G383"/>
          <cell r="H383"/>
          <cell r="I383"/>
          <cell r="J383"/>
          <cell r="K383"/>
          <cell r="L383"/>
        </row>
        <row r="384">
          <cell r="B384"/>
          <cell r="C384"/>
          <cell r="D384"/>
          <cell r="E384"/>
          <cell r="F384"/>
          <cell r="G384"/>
          <cell r="H384"/>
          <cell r="I384"/>
          <cell r="J384"/>
          <cell r="K384"/>
          <cell r="L384"/>
        </row>
        <row r="385">
          <cell r="F385"/>
          <cell r="H385"/>
          <cell r="I385"/>
          <cell r="J385"/>
        </row>
        <row r="386">
          <cell r="F386"/>
          <cell r="G386"/>
          <cell r="H386"/>
          <cell r="I386"/>
          <cell r="J386"/>
        </row>
        <row r="387">
          <cell r="F387"/>
          <cell r="G387"/>
        </row>
        <row r="388">
          <cell r="F388"/>
          <cell r="G388"/>
        </row>
      </sheetData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pellNumber"/>
    </sheetNames>
    <definedNames>
      <definedName name="SpellNumber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tabColor rgb="FFCCFF66"/>
    <pageSetUpPr fitToPage="1"/>
  </sheetPr>
  <dimension ref="A1:AM54"/>
  <sheetViews>
    <sheetView view="pageBreakPreview" zoomScale="130" zoomScaleNormal="100" zoomScaleSheetLayoutView="130" workbookViewId="0">
      <pane ySplit="6" topLeftCell="A7" activePane="bottomLeft" state="frozen"/>
      <selection activeCell="E29" sqref="E29"/>
      <selection pane="bottomLeft" activeCell="J8" sqref="J8"/>
    </sheetView>
  </sheetViews>
  <sheetFormatPr defaultColWidth="9.140625" defaultRowHeight="12.75"/>
  <cols>
    <col min="1" max="1" width="3.7109375" style="23" customWidth="1"/>
    <col min="2" max="2" width="34" style="24" customWidth="1"/>
    <col min="3" max="3" width="5.85546875" style="4" customWidth="1"/>
    <col min="4" max="4" width="9.85546875" style="4" customWidth="1"/>
    <col min="5" max="5" width="11.140625" style="4" bestFit="1" customWidth="1"/>
    <col min="6" max="7" width="8.7109375" style="4" customWidth="1"/>
    <col min="8" max="8" width="7.7109375" style="4" customWidth="1"/>
    <col min="9" max="9" width="11.28515625" style="4" customWidth="1"/>
    <col min="10" max="10" width="11" style="4" customWidth="1"/>
    <col min="11" max="11" width="7.28515625" style="4" customWidth="1"/>
    <col min="12" max="12" width="7.42578125" style="4" customWidth="1"/>
    <col min="13" max="13" width="8.28515625" style="4" customWidth="1"/>
    <col min="14" max="14" width="10.85546875" style="4" customWidth="1"/>
    <col min="15" max="15" width="9.140625" style="4" customWidth="1"/>
    <col min="16" max="16" width="7.42578125" style="4" customWidth="1"/>
    <col min="17" max="17" width="8.85546875" style="25" customWidth="1"/>
    <col min="18" max="19" width="9.140625" style="4" customWidth="1"/>
    <col min="20" max="20" width="9.28515625" style="4" customWidth="1"/>
    <col min="21" max="21" width="11" style="25" customWidth="1"/>
    <col min="22" max="22" width="2.85546875" style="25" customWidth="1"/>
    <col min="23" max="23" width="11.140625" style="4" bestFit="1" customWidth="1"/>
    <col min="24" max="24" width="11.28515625" style="4" bestFit="1" customWidth="1"/>
    <col min="25" max="25" width="12" style="381" bestFit="1" customWidth="1"/>
    <col min="26" max="26" width="11.28515625" style="381" bestFit="1" customWidth="1"/>
    <col min="27" max="27" width="14.5703125" style="381" bestFit="1" customWidth="1"/>
    <col min="28" max="28" width="9.85546875" style="4" bestFit="1" customWidth="1"/>
    <col min="29" max="16384" width="9.140625" style="4"/>
  </cols>
  <sheetData>
    <row r="1" spans="1:39" s="2" customFormat="1" ht="23.25">
      <c r="A1" s="1133" t="s">
        <v>0</v>
      </c>
      <c r="B1" s="1133"/>
      <c r="C1" s="1133"/>
      <c r="D1" s="1133"/>
      <c r="E1" s="1133"/>
      <c r="F1" s="1133"/>
      <c r="G1" s="1133"/>
      <c r="H1" s="1133"/>
      <c r="I1" s="1133"/>
      <c r="J1" s="1133"/>
      <c r="K1" s="1133"/>
      <c r="L1" s="1133"/>
      <c r="M1" s="1133"/>
      <c r="N1" s="1133"/>
      <c r="O1" s="1133"/>
      <c r="P1" s="1133"/>
      <c r="Q1" s="1133"/>
      <c r="R1" s="1133"/>
      <c r="S1" s="1133"/>
      <c r="T1" s="1133"/>
      <c r="U1" s="1133"/>
      <c r="V1" s="643"/>
      <c r="W1" s="1"/>
      <c r="X1" s="1"/>
      <c r="Y1" s="406"/>
      <c r="Z1" s="406"/>
      <c r="AA1" s="406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s="2" customFormat="1" ht="20.25">
      <c r="A2" s="1127" t="s">
        <v>1</v>
      </c>
      <c r="B2" s="1127"/>
      <c r="C2" s="1127"/>
      <c r="D2" s="1127"/>
      <c r="E2" s="1127"/>
      <c r="F2" s="1127"/>
      <c r="G2" s="1127"/>
      <c r="H2" s="1127"/>
      <c r="I2" s="1127"/>
      <c r="J2" s="1127"/>
      <c r="K2" s="1127"/>
      <c r="L2" s="1127"/>
      <c r="M2" s="1127"/>
      <c r="N2" s="1127"/>
      <c r="O2" s="1127"/>
      <c r="P2" s="1127"/>
      <c r="Q2" s="1127"/>
      <c r="R2" s="1127"/>
      <c r="S2" s="1127"/>
      <c r="T2" s="1127"/>
      <c r="U2" s="1127"/>
      <c r="V2" s="644"/>
      <c r="W2" s="3"/>
      <c r="X2" s="1"/>
      <c r="Y2" s="406"/>
      <c r="Z2" s="406"/>
      <c r="AA2" s="406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s="2" customFormat="1" ht="15.75">
      <c r="A3" s="1127" t="s">
        <v>1828</v>
      </c>
      <c r="B3" s="1127"/>
      <c r="C3" s="1127"/>
      <c r="D3" s="1127"/>
      <c r="E3" s="1127"/>
      <c r="F3" s="1127"/>
      <c r="G3" s="1127"/>
      <c r="H3" s="1127"/>
      <c r="I3" s="1127"/>
      <c r="J3" s="1127"/>
      <c r="K3" s="1127"/>
      <c r="L3" s="1127"/>
      <c r="M3" s="1127"/>
      <c r="N3" s="1127"/>
      <c r="O3" s="1127"/>
      <c r="P3" s="1127"/>
      <c r="Q3" s="1127"/>
      <c r="R3" s="1127"/>
      <c r="S3" s="1127"/>
      <c r="T3" s="1127"/>
      <c r="U3" s="1127"/>
      <c r="V3" s="21"/>
      <c r="Y3" s="9"/>
      <c r="Z3" s="9"/>
      <c r="AA3" s="9"/>
    </row>
    <row r="4" spans="1:39" ht="15.75">
      <c r="A4" s="302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28" t="s">
        <v>2</v>
      </c>
      <c r="V4" s="328"/>
    </row>
    <row r="5" spans="1:39" s="2" customFormat="1" ht="15" customHeight="1">
      <c r="A5" s="1134" t="s">
        <v>3</v>
      </c>
      <c r="B5" s="1134" t="s">
        <v>4</v>
      </c>
      <c r="C5" s="1136" t="s">
        <v>5</v>
      </c>
      <c r="D5" s="1128" t="s">
        <v>6</v>
      </c>
      <c r="E5" s="1129"/>
      <c r="F5" s="1129"/>
      <c r="G5" s="1129"/>
      <c r="H5" s="1130"/>
      <c r="I5" s="1134" t="s">
        <v>7</v>
      </c>
      <c r="J5" s="1134" t="s">
        <v>8</v>
      </c>
      <c r="K5" s="1138" t="s">
        <v>9</v>
      </c>
      <c r="L5" s="1138"/>
      <c r="M5" s="1138"/>
      <c r="N5" s="1139" t="s">
        <v>8</v>
      </c>
      <c r="O5" s="1128" t="s">
        <v>10</v>
      </c>
      <c r="P5" s="1129"/>
      <c r="Q5" s="1129"/>
      <c r="R5" s="1129"/>
      <c r="S5" s="1130"/>
      <c r="T5" s="1136" t="s">
        <v>11</v>
      </c>
      <c r="U5" s="1141" t="s">
        <v>12</v>
      </c>
      <c r="V5" s="758"/>
      <c r="Y5" s="9"/>
      <c r="Z5" s="9"/>
      <c r="AA5" s="9"/>
    </row>
    <row r="6" spans="1:39" s="5" customFormat="1" ht="96.75" customHeight="1">
      <c r="A6" s="1135"/>
      <c r="B6" s="1135"/>
      <c r="C6" s="1137"/>
      <c r="D6" s="998" t="s">
        <v>13</v>
      </c>
      <c r="E6" s="998" t="s">
        <v>14</v>
      </c>
      <c r="F6" s="999" t="s">
        <v>15</v>
      </c>
      <c r="G6" s="999" t="s">
        <v>16</v>
      </c>
      <c r="H6" s="999" t="s">
        <v>17</v>
      </c>
      <c r="I6" s="1135"/>
      <c r="J6" s="1135"/>
      <c r="K6" s="1000" t="s">
        <v>842</v>
      </c>
      <c r="L6" s="1000" t="s">
        <v>841</v>
      </c>
      <c r="M6" s="1000" t="s">
        <v>623</v>
      </c>
      <c r="N6" s="1140"/>
      <c r="O6" s="1001" t="s">
        <v>21</v>
      </c>
      <c r="P6" s="1002" t="s">
        <v>585</v>
      </c>
      <c r="Q6" s="1003" t="s">
        <v>1249</v>
      </c>
      <c r="R6" s="1001" t="s">
        <v>536</v>
      </c>
      <c r="S6" s="1001" t="s">
        <v>951</v>
      </c>
      <c r="T6" s="1137"/>
      <c r="U6" s="1142"/>
      <c r="V6" s="1126"/>
      <c r="Z6" s="9"/>
      <c r="AA6" s="9"/>
    </row>
    <row r="7" spans="1:39" s="6" customFormat="1" ht="27.75" customHeight="1">
      <c r="A7" s="1143" t="s">
        <v>847</v>
      </c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5"/>
      <c r="V7" s="759"/>
      <c r="W7" s="776" t="s">
        <v>1358</v>
      </c>
      <c r="X7" s="777" t="s">
        <v>25</v>
      </c>
      <c r="Y7" s="777" t="s">
        <v>1182</v>
      </c>
      <c r="Z7" s="601"/>
      <c r="AA7" s="601"/>
    </row>
    <row r="8" spans="1:39" s="6" customFormat="1" ht="28.5" customHeight="1">
      <c r="A8" s="595">
        <v>1</v>
      </c>
      <c r="B8" s="592" t="s">
        <v>843</v>
      </c>
      <c r="C8" s="590">
        <f>Harv!A85+'GM-Fin'!A8+Ashfaq!A8+'CEO-R&amp;D'!A8</f>
        <v>62</v>
      </c>
      <c r="D8" s="7">
        <f>+Harv!L85+'GM-Fin'!M12+Ashfaq!M8+'CEO-R&amp;D'!M8</f>
        <v>1410496.2</v>
      </c>
      <c r="E8" s="7">
        <f>+Harv!M85+'GM-Fin'!N12+Ashfaq!N8+'CEO-R&amp;D'!N8</f>
        <v>723360.6</v>
      </c>
      <c r="F8" s="7">
        <f>+Harv!N85+'GM-Fin'!O12+Ashfaq!O8+'CEO-R&amp;D'!O8</f>
        <v>139917.12</v>
      </c>
      <c r="G8" s="7">
        <f>+Harv!O85+'GM-Fin'!P12+Ashfaq!P8+'CEO-R&amp;D'!P8</f>
        <v>97178.08</v>
      </c>
      <c r="H8" s="7">
        <f>+Harv!P85+'GM-Fin'!Q12+Ashfaq!Q8</f>
        <v>0</v>
      </c>
      <c r="I8" s="366">
        <f>SUM(D8:H8)</f>
        <v>2370952</v>
      </c>
      <c r="J8" s="366">
        <f>ROUNDUP(Ashfaq!S8+'GM-Fin'!S12+Harv!R85+'CEO-R&amp;D'!S8,0)</f>
        <v>2357642</v>
      </c>
      <c r="K8" s="7">
        <f>+'GM-Fin'!T12+Harv!S85+Ashfaq!T8+'CEO-R&amp;D'!T8</f>
        <v>2000</v>
      </c>
      <c r="L8" s="7">
        <f>+'GM-Fin'!U12+Harv!T85+Ashfaq!U8+'CEO-R&amp;D'!U8</f>
        <v>6000</v>
      </c>
      <c r="M8" s="7">
        <f>+'GM-Fin'!V12+Harv!U85+Ashfaq!V8+'CEO-R&amp;D'!V8</f>
        <v>4516</v>
      </c>
      <c r="N8" s="366">
        <f>ROUND(SUM(J8:M8),0)</f>
        <v>2370158</v>
      </c>
      <c r="O8" s="7">
        <f>+Ashfaq!X8+'GM-Fin'!X12+Harv!W85+'CEO-R&amp;D'!X8</f>
        <v>33473.857142857145</v>
      </c>
      <c r="P8" s="7">
        <f>+Ashfaq!Y8+'GM-Fin'!Y12+Harv!X85+'CEO-R&amp;D'!Y8</f>
        <v>7575</v>
      </c>
      <c r="Q8" s="7">
        <f ca="1">+Ashfaq!Z8+'GM-Fin'!Z12+Harv!Y85+'CEO-R&amp;D'!Z8</f>
        <v>62117</v>
      </c>
      <c r="R8" s="7">
        <f>'GM-Fin'!AA12+Harv!Z85</f>
        <v>25132</v>
      </c>
      <c r="S8" s="7">
        <f>+'GM-Fin'!AA12+Harv!AA85+Ashfaq!AA8+'CEO-R&amp;D'!AA8</f>
        <v>42000</v>
      </c>
      <c r="T8" s="366">
        <f ca="1">SUM(O8:S8)</f>
        <v>170297.85714285716</v>
      </c>
      <c r="U8" s="366">
        <f ca="1">ROUND(N8-T8,0)</f>
        <v>2199860</v>
      </c>
      <c r="V8" s="760"/>
      <c r="W8" s="763">
        <f ca="1">+Ashfaq!AF13+'GM-Fin'!AF16+Harv!AE87+'CEO-R&amp;D'!AF13</f>
        <v>2077351</v>
      </c>
      <c r="X8" s="763">
        <f>+Ashfaq!AF14+'GM-Fin'!AF17+Harv!AE88+'CEO-R&amp;D'!AF14</f>
        <v>222509</v>
      </c>
      <c r="Y8" s="1125">
        <f ca="1">SUM(W8:X8)-100000</f>
        <v>2199860</v>
      </c>
      <c r="Z8" s="4"/>
      <c r="AA8" s="4"/>
      <c r="AI8" s="382"/>
    </row>
    <row r="9" spans="1:39" s="6" customFormat="1" ht="28.5" customHeight="1">
      <c r="A9" s="596">
        <v>2</v>
      </c>
      <c r="B9" s="593" t="s">
        <v>844</v>
      </c>
      <c r="C9" s="591">
        <f>Tractor!A180+'Sr. GM-Tractor'!A8</f>
        <v>155</v>
      </c>
      <c r="D9" s="8">
        <f>Tractor!L180++'Sr. GM-Tractor'!M8</f>
        <v>2896620</v>
      </c>
      <c r="E9" s="8">
        <f>Tractor!M180++'Sr. GM-Tractor'!N8</f>
        <v>1448310</v>
      </c>
      <c r="F9" s="8">
        <f>Tractor!N180++'Sr. GM-Tractor'!O8</f>
        <v>289662</v>
      </c>
      <c r="G9" s="8">
        <f>Tractor!O180++'Sr. GM-Tractor'!P8</f>
        <v>193108</v>
      </c>
      <c r="H9" s="8">
        <f>Tractor!P180++'Sr. GM-Tractor'!Q8</f>
        <v>0</v>
      </c>
      <c r="I9" s="367">
        <f>SUM(D9:H9)</f>
        <v>4827700</v>
      </c>
      <c r="J9" s="367">
        <f>Tractor!R180+'Sr. GM-Tractor'!S8</f>
        <v>4718147</v>
      </c>
      <c r="K9" s="8">
        <f>Tractor!S180+'Sr. GM-Tractor'!T8</f>
        <v>2000</v>
      </c>
      <c r="L9" s="8">
        <f>Tractor!T180+'Sr. GM-Tractor'!U8</f>
        <v>5000</v>
      </c>
      <c r="M9" s="8">
        <f>Tractor!U180+'Sr. GM-Tractor'!V8</f>
        <v>0</v>
      </c>
      <c r="N9" s="367">
        <f>ROUND(SUM(J9:M9),0)</f>
        <v>4725147</v>
      </c>
      <c r="O9" s="8">
        <f>Tractor!W180++'Sr. GM-Tractor'!X8</f>
        <v>37878.571428571428</v>
      </c>
      <c r="P9" s="8">
        <f>Tractor!X180++'Sr. GM-Tractor'!Y8</f>
        <v>5775</v>
      </c>
      <c r="Q9" s="8">
        <f>Tractor!Y180++'Sr. GM-Tractor'!Z8</f>
        <v>92919</v>
      </c>
      <c r="R9" s="8">
        <f>Tractor!Z180++'Sr. GM-Tractor'!AA8</f>
        <v>98635</v>
      </c>
      <c r="S9" s="8">
        <f>'Sr. GM-Tractor'!AA8+Tractor!AA180</f>
        <v>5000</v>
      </c>
      <c r="T9" s="367">
        <f>ROUND(SUM(O9:S9),0)</f>
        <v>240208</v>
      </c>
      <c r="U9" s="367">
        <f>ROUND(N9-T9,0)</f>
        <v>4484939</v>
      </c>
      <c r="V9" s="760"/>
      <c r="W9" s="763">
        <f ca="1">Tractor!AE182+'Sr. GM-Tractor'!AF13</f>
        <v>4264768</v>
      </c>
      <c r="X9" s="763">
        <f>Tractor!AE183+'Sr. GM-Tractor'!AF14</f>
        <v>220171</v>
      </c>
      <c r="Y9" s="1125">
        <f ca="1">SUM(W9:X9)</f>
        <v>4484939</v>
      </c>
      <c r="Z9" s="4"/>
      <c r="AA9" s="4"/>
    </row>
    <row r="10" spans="1:39" s="6" customFormat="1" ht="28.5" customHeight="1">
      <c r="A10" s="596">
        <v>3</v>
      </c>
      <c r="B10" s="594" t="s">
        <v>846</v>
      </c>
      <c r="C10" s="591">
        <f>Seed!A58</f>
        <v>42</v>
      </c>
      <c r="D10" s="8">
        <f>Seed!L58</f>
        <v>861240</v>
      </c>
      <c r="E10" s="8">
        <f>Seed!M58</f>
        <v>430620</v>
      </c>
      <c r="F10" s="8">
        <f>Seed!N58</f>
        <v>86124</v>
      </c>
      <c r="G10" s="8">
        <f>Seed!O58</f>
        <v>57416</v>
      </c>
      <c r="H10" s="8">
        <f>Seed!P58</f>
        <v>0</v>
      </c>
      <c r="I10" s="367">
        <f t="shared" ref="I10:I12" si="0">SUM(D10:H10)</f>
        <v>1435400</v>
      </c>
      <c r="J10" s="367">
        <f>Seed!R58</f>
        <v>1407174</v>
      </c>
      <c r="K10" s="8">
        <f>Seed!S58</f>
        <v>0</v>
      </c>
      <c r="L10" s="8">
        <f>Seed!T58</f>
        <v>0</v>
      </c>
      <c r="M10" s="8">
        <f>Seed!U58</f>
        <v>2800</v>
      </c>
      <c r="N10" s="367">
        <f t="shared" ref="N10:N12" si="1">ROUND(SUM(J10:M10),0)</f>
        <v>1409974</v>
      </c>
      <c r="O10" s="8">
        <f>Seed!W58</f>
        <v>7448</v>
      </c>
      <c r="P10" s="8">
        <f>Seed!X58</f>
        <v>0</v>
      </c>
      <c r="Q10" s="8">
        <f>Seed!Y58</f>
        <v>16392</v>
      </c>
      <c r="R10" s="8">
        <f>Seed!Z58</f>
        <v>24124</v>
      </c>
      <c r="S10" s="8">
        <f>Tractor!AA182</f>
        <v>0</v>
      </c>
      <c r="T10" s="367">
        <f t="shared" ref="T10:T12" si="2">ROUND(SUM(O10:S10),0)</f>
        <v>47964</v>
      </c>
      <c r="U10" s="367">
        <f t="shared" ref="U10:U12" si="3">ROUND(N10-T10,0)</f>
        <v>1362010</v>
      </c>
      <c r="V10" s="760"/>
      <c r="W10" s="763">
        <f>Seed!AE60</f>
        <v>1355236</v>
      </c>
      <c r="X10" s="763">
        <f>Seed!AE61</f>
        <v>6774</v>
      </c>
      <c r="Y10" s="1125">
        <f t="shared" ref="Y10:Y12" si="4">SUM(W10:X10)</f>
        <v>1362010</v>
      </c>
      <c r="Z10" s="4"/>
      <c r="AA10" s="4"/>
    </row>
    <row r="11" spans="1:39" s="6" customFormat="1" ht="28.5" customHeight="1">
      <c r="A11" s="596">
        <v>4</v>
      </c>
      <c r="B11" s="593" t="s">
        <v>845</v>
      </c>
      <c r="C11" s="591">
        <f>Pesticide!A89</f>
        <v>67</v>
      </c>
      <c r="D11" s="8">
        <f>Pesticide!L89</f>
        <v>1184100</v>
      </c>
      <c r="E11" s="8">
        <f>Pesticide!M89</f>
        <v>592050</v>
      </c>
      <c r="F11" s="8">
        <f>Pesticide!N89</f>
        <v>118410</v>
      </c>
      <c r="G11" s="8">
        <f>Pesticide!O89</f>
        <v>78940</v>
      </c>
      <c r="H11" s="8">
        <f>Pesticide!P89</f>
        <v>0</v>
      </c>
      <c r="I11" s="367">
        <f t="shared" si="0"/>
        <v>1973500</v>
      </c>
      <c r="J11" s="367">
        <f>Pesticide!R89</f>
        <v>1966403</v>
      </c>
      <c r="K11" s="8">
        <f>Pesticide!S89</f>
        <v>0</v>
      </c>
      <c r="L11" s="8">
        <f>Pesticide!T89</f>
        <v>0</v>
      </c>
      <c r="M11" s="8">
        <f>Pesticide!U89</f>
        <v>0</v>
      </c>
      <c r="N11" s="367">
        <f t="shared" si="1"/>
        <v>1966403</v>
      </c>
      <c r="O11" s="8">
        <f>Pesticide!W89</f>
        <v>16200</v>
      </c>
      <c r="P11" s="8">
        <f>Pesticide!X89</f>
        <v>0</v>
      </c>
      <c r="Q11" s="8">
        <f>Pesticide!Y89</f>
        <v>22815</v>
      </c>
      <c r="R11" s="8">
        <f>Pesticide!Z89</f>
        <v>32565</v>
      </c>
      <c r="S11" s="8">
        <f>Pesticide!AA89</f>
        <v>0</v>
      </c>
      <c r="T11" s="367">
        <f t="shared" si="2"/>
        <v>71580</v>
      </c>
      <c r="U11" s="367">
        <f t="shared" si="3"/>
        <v>1894823</v>
      </c>
      <c r="V11" s="760"/>
      <c r="W11" s="763">
        <f>Pesticide!AE91</f>
        <v>1820823</v>
      </c>
      <c r="X11" s="763">
        <f>Pesticide!AE92</f>
        <v>74000</v>
      </c>
      <c r="Y11" s="1125">
        <f t="shared" si="4"/>
        <v>1894823</v>
      </c>
      <c r="Z11" s="4"/>
      <c r="AA11" s="4"/>
    </row>
    <row r="12" spans="1:39" s="6" customFormat="1" ht="28.5" customHeight="1">
      <c r="A12" s="596">
        <v>5</v>
      </c>
      <c r="B12" s="594" t="s">
        <v>1356</v>
      </c>
      <c r="C12" s="591">
        <f>'Spare Parts'!A38</f>
        <v>24</v>
      </c>
      <c r="D12" s="8">
        <f>'Spare Parts'!L38</f>
        <v>525558</v>
      </c>
      <c r="E12" s="8">
        <f>'Spare Parts'!M38</f>
        <v>262779</v>
      </c>
      <c r="F12" s="8">
        <f>'Spare Parts'!N38</f>
        <v>52555.8</v>
      </c>
      <c r="G12" s="8">
        <f>'Spare Parts'!O38</f>
        <v>35037.199999999997</v>
      </c>
      <c r="H12" s="8"/>
      <c r="I12" s="367">
        <f t="shared" si="0"/>
        <v>875930</v>
      </c>
      <c r="J12" s="367">
        <f>'Spare Parts'!R38</f>
        <v>871741</v>
      </c>
      <c r="K12" s="8">
        <f>'Spare Parts'!S38</f>
        <v>0</v>
      </c>
      <c r="L12" s="8">
        <f>'Spare Parts'!T38</f>
        <v>0</v>
      </c>
      <c r="M12" s="8">
        <f>'Spare Parts'!U38</f>
        <v>0</v>
      </c>
      <c r="N12" s="367">
        <f t="shared" si="1"/>
        <v>871741</v>
      </c>
      <c r="O12" s="8">
        <f>'Spare Parts'!W38</f>
        <v>15171.285714285714</v>
      </c>
      <c r="P12" s="8">
        <f>'Spare Parts'!X38</f>
        <v>4950</v>
      </c>
      <c r="Q12" s="8">
        <f>'Spare Parts'!Y38</f>
        <v>22980</v>
      </c>
      <c r="R12" s="8">
        <f>'Spare Parts'!Z38</f>
        <v>16611</v>
      </c>
      <c r="S12" s="8">
        <f>Tractor!AA184</f>
        <v>0</v>
      </c>
      <c r="T12" s="367">
        <f t="shared" si="2"/>
        <v>59712</v>
      </c>
      <c r="U12" s="367">
        <f t="shared" si="3"/>
        <v>812029</v>
      </c>
      <c r="V12" s="760"/>
      <c r="W12" s="764">
        <f>'Spare Parts'!AE40</f>
        <v>812029</v>
      </c>
      <c r="X12" s="763">
        <f>'Spare Parts'!AE41</f>
        <v>0</v>
      </c>
      <c r="Y12" s="1125">
        <f t="shared" si="4"/>
        <v>812029</v>
      </c>
      <c r="Z12" s="4"/>
      <c r="AA12" s="4"/>
    </row>
    <row r="13" spans="1:39" s="2" customFormat="1" ht="27.75" customHeight="1">
      <c r="A13" s="1131" t="s">
        <v>28</v>
      </c>
      <c r="B13" s="1132"/>
      <c r="C13" s="1004">
        <f t="shared" ref="C13:U13" si="5">SUM(C8:C12)</f>
        <v>350</v>
      </c>
      <c r="D13" s="1005">
        <f t="shared" si="5"/>
        <v>6878014.2000000002</v>
      </c>
      <c r="E13" s="1005">
        <f t="shared" si="5"/>
        <v>3457119.6</v>
      </c>
      <c r="F13" s="1005">
        <f t="shared" si="5"/>
        <v>686668.92</v>
      </c>
      <c r="G13" s="1005">
        <f t="shared" si="5"/>
        <v>461679.28</v>
      </c>
      <c r="H13" s="1005">
        <f t="shared" si="5"/>
        <v>0</v>
      </c>
      <c r="I13" s="1005">
        <f t="shared" si="5"/>
        <v>11483482</v>
      </c>
      <c r="J13" s="1005">
        <f t="shared" si="5"/>
        <v>11321107</v>
      </c>
      <c r="K13" s="1005">
        <f t="shared" si="5"/>
        <v>4000</v>
      </c>
      <c r="L13" s="1005">
        <f t="shared" si="5"/>
        <v>11000</v>
      </c>
      <c r="M13" s="1005">
        <f t="shared" si="5"/>
        <v>7316</v>
      </c>
      <c r="N13" s="1005">
        <f t="shared" si="5"/>
        <v>11343423</v>
      </c>
      <c r="O13" s="1005">
        <f t="shared" si="5"/>
        <v>110171.71428571429</v>
      </c>
      <c r="P13" s="1005">
        <f t="shared" si="5"/>
        <v>18300</v>
      </c>
      <c r="Q13" s="1005">
        <f t="shared" ca="1" si="5"/>
        <v>217223</v>
      </c>
      <c r="R13" s="1005">
        <f>SUM(R8:R12)</f>
        <v>197067</v>
      </c>
      <c r="S13" s="1005">
        <f t="shared" si="5"/>
        <v>47000</v>
      </c>
      <c r="T13" s="1005">
        <f t="shared" ca="1" si="5"/>
        <v>589761.85714285716</v>
      </c>
      <c r="U13" s="1005">
        <f t="shared" ca="1" si="5"/>
        <v>10753661</v>
      </c>
      <c r="V13" s="761"/>
      <c r="W13" s="765">
        <f ca="1">SUM(W8:W12)</f>
        <v>10330207</v>
      </c>
      <c r="X13" s="765">
        <f>SUM(X8:X12)</f>
        <v>523454</v>
      </c>
      <c r="Y13" s="765">
        <f t="shared" ref="Y13" ca="1" si="6">SUM(Y8:Y12)</f>
        <v>10753661</v>
      </c>
      <c r="Z13" s="4"/>
      <c r="AA13" s="4"/>
    </row>
    <row r="14" spans="1:39" s="601" customFormat="1" ht="16.5">
      <c r="A14" s="597"/>
      <c r="B14" s="597"/>
      <c r="C14" s="598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413"/>
      <c r="O14" s="413"/>
      <c r="P14" s="413"/>
      <c r="Q14" s="602"/>
      <c r="R14" s="602"/>
      <c r="S14" s="602"/>
      <c r="T14" s="602"/>
      <c r="U14" s="602"/>
      <c r="V14" s="600"/>
      <c r="Z14" s="4"/>
      <c r="AA14" s="4"/>
    </row>
    <row r="15" spans="1:39" ht="27" customHeight="1">
      <c r="A15" s="250"/>
      <c r="B15" s="251"/>
      <c r="C15" s="12"/>
      <c r="D15" s="602"/>
      <c r="E15" s="602"/>
      <c r="F15" s="602"/>
      <c r="G15" s="602"/>
      <c r="H15" s="602"/>
      <c r="I15" s="602"/>
      <c r="J15" s="602"/>
      <c r="K15" s="602"/>
      <c r="L15" s="602"/>
      <c r="M15" s="602"/>
      <c r="N15" s="602"/>
      <c r="O15" s="602"/>
      <c r="P15" s="602"/>
      <c r="Q15" s="14" t="s">
        <v>29</v>
      </c>
      <c r="R15" s="12"/>
      <c r="S15" s="12"/>
      <c r="T15" s="12"/>
      <c r="U15" s="315"/>
      <c r="V15" s="315"/>
      <c r="Y15" s="4"/>
      <c r="Z15" s="4"/>
      <c r="AA15" s="4"/>
    </row>
    <row r="16" spans="1:39" ht="17.25" customHeight="1">
      <c r="A16" s="250"/>
      <c r="B16" s="251"/>
      <c r="C16" s="12"/>
      <c r="D16" s="249"/>
      <c r="E16" s="249"/>
      <c r="F16" s="249"/>
      <c r="G16" s="249"/>
      <c r="H16" s="249"/>
      <c r="I16" s="602"/>
      <c r="J16" s="249"/>
      <c r="K16" s="249"/>
      <c r="L16" s="249"/>
      <c r="M16" s="249"/>
      <c r="N16" s="249"/>
      <c r="O16" s="249"/>
      <c r="P16" s="249"/>
      <c r="Q16" s="304" t="s">
        <v>1153</v>
      </c>
      <c r="R16" s="305"/>
      <c r="S16" s="305"/>
      <c r="T16" s="306"/>
      <c r="U16" s="310">
        <f ca="1">Seed!AE60+Tractor!AE182+Harv!AE87+Fertilizer!AE14+AHC!AD13+Pesticide!AE91+'GM-Fin'!AF16+'Spare Parts'!AE40+'Sr. GM-Tractor'!AF13+Ashfaq!AF13+'CEO-R&amp;D'!AF13</f>
        <v>10330207</v>
      </c>
      <c r="V16" s="762"/>
      <c r="Y16" s="4"/>
      <c r="Z16" s="4"/>
      <c r="AA16" s="4"/>
    </row>
    <row r="17" spans="1:27" ht="16.5">
      <c r="A17" s="250"/>
      <c r="B17" s="251"/>
      <c r="C17" s="12"/>
      <c r="D17" s="249"/>
      <c r="E17" s="249"/>
      <c r="F17" s="249"/>
      <c r="G17" s="249"/>
      <c r="H17" s="249"/>
      <c r="I17" s="602"/>
      <c r="J17" s="249"/>
      <c r="K17" s="249"/>
      <c r="L17" s="249"/>
      <c r="M17" s="602"/>
      <c r="N17" s="249"/>
      <c r="O17" s="249"/>
      <c r="P17" s="249"/>
      <c r="Q17" s="313" t="s">
        <v>586</v>
      </c>
      <c r="R17" s="308"/>
      <c r="S17" s="308"/>
      <c r="T17" s="309"/>
      <c r="U17" s="311">
        <f>-'GM-Fin'!AC13</f>
        <v>-100000</v>
      </c>
      <c r="V17" s="762"/>
      <c r="Y17" s="4"/>
      <c r="Z17" s="4"/>
      <c r="AA17" s="4"/>
    </row>
    <row r="18" spans="1:27" ht="24.75" customHeight="1">
      <c r="A18" s="10"/>
      <c r="B18" s="11"/>
      <c r="C18" s="12"/>
      <c r="D18" s="12"/>
      <c r="E18" s="12"/>
      <c r="F18" s="12"/>
      <c r="G18" s="12"/>
      <c r="H18" s="12"/>
      <c r="I18" s="428"/>
      <c r="J18" s="12"/>
      <c r="K18" s="12"/>
      <c r="L18" s="12"/>
      <c r="M18" s="12"/>
      <c r="O18" s="12"/>
      <c r="P18" s="12"/>
      <c r="Q18" s="304"/>
      <c r="R18" s="305"/>
      <c r="S18" s="305"/>
      <c r="T18" s="306"/>
      <c r="U18" s="314">
        <f ca="1">SUM(U16:U17)</f>
        <v>10230207</v>
      </c>
      <c r="V18" s="129"/>
      <c r="Y18" s="4"/>
      <c r="Z18" s="4"/>
      <c r="AA18" s="4"/>
    </row>
    <row r="19" spans="1:27" ht="16.5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4"/>
      <c r="O19" s="12"/>
      <c r="P19" s="12"/>
      <c r="Q19" s="313" t="s">
        <v>1154</v>
      </c>
      <c r="R19" s="308"/>
      <c r="S19" s="308"/>
      <c r="T19" s="309"/>
      <c r="U19" s="311">
        <f>Seed!AE61+Tractor!AE183+Harv!AE88+Fertilizer!AE15+AHC!AD14+Pesticide!AE92+'GM-Fin'!AF17+'Spare Parts'!AE41+'Sr. GM-Tractor'!AF14+Ashfaq!AF14+'CEO-R&amp;D'!AF14</f>
        <v>523454</v>
      </c>
      <c r="V19" s="762"/>
      <c r="Y19" s="4"/>
      <c r="Z19" s="4"/>
      <c r="AA19" s="4"/>
    </row>
    <row r="20" spans="1:27" ht="16.5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4"/>
      <c r="O20" s="12"/>
      <c r="P20" s="12"/>
      <c r="Q20" s="307"/>
      <c r="R20" s="308"/>
      <c r="S20" s="308"/>
      <c r="T20" s="309"/>
      <c r="U20" s="312">
        <f ca="1">U18+U19</f>
        <v>10753661</v>
      </c>
      <c r="V20" s="129"/>
      <c r="Y20" s="4"/>
      <c r="Z20" s="4"/>
      <c r="AA20" s="4"/>
    </row>
    <row r="21" spans="1:27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9"/>
      <c r="R21" s="19"/>
      <c r="S21" s="19"/>
      <c r="T21" s="19"/>
      <c r="U21" s="365"/>
      <c r="V21" s="365"/>
      <c r="Y21" s="4"/>
    </row>
    <row r="22" spans="1:27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9"/>
      <c r="R22" s="19"/>
      <c r="S22" s="19"/>
      <c r="T22" s="19"/>
      <c r="U22" s="365"/>
      <c r="V22" s="365"/>
      <c r="Y22" s="4"/>
    </row>
    <row r="23" spans="1:27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428"/>
      <c r="P23" s="428"/>
      <c r="Q23" s="428"/>
      <c r="R23" s="428"/>
      <c r="S23" s="428"/>
      <c r="T23" s="428"/>
      <c r="U23" s="365"/>
      <c r="V23" s="19"/>
      <c r="Y23" s="4"/>
    </row>
    <row r="24" spans="1:27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9"/>
      <c r="R24" s="19"/>
      <c r="S24" s="19"/>
      <c r="T24" s="19"/>
      <c r="U24" s="365"/>
      <c r="V24" s="19"/>
      <c r="Y24" s="4"/>
    </row>
    <row r="25" spans="1:27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9"/>
      <c r="R25" s="19"/>
      <c r="S25" s="19"/>
      <c r="T25" s="19"/>
      <c r="U25" s="365"/>
      <c r="V25" s="365"/>
      <c r="Y25" s="4"/>
    </row>
    <row r="26" spans="1:27">
      <c r="A26" s="10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9"/>
      <c r="R26" s="19"/>
      <c r="S26" s="19"/>
      <c r="T26" s="19"/>
      <c r="U26" s="19"/>
      <c r="V26" s="19"/>
      <c r="Y26" s="4"/>
    </row>
    <row r="27" spans="1:27">
      <c r="A27" s="10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9"/>
      <c r="R27" s="19"/>
      <c r="S27" s="19"/>
      <c r="T27" s="19"/>
      <c r="U27" s="19"/>
      <c r="V27" s="19"/>
      <c r="Y27" s="4"/>
    </row>
    <row r="28" spans="1:27">
      <c r="A28" s="10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9"/>
      <c r="R28" s="19"/>
      <c r="S28" s="19"/>
      <c r="T28" s="19"/>
      <c r="U28" s="19"/>
      <c r="V28" s="19"/>
      <c r="X28" s="16"/>
    </row>
    <row r="29" spans="1:27">
      <c r="A29" s="1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9"/>
      <c r="R29" s="19"/>
      <c r="S29" s="19"/>
      <c r="T29" s="19"/>
      <c r="U29" s="19"/>
      <c r="V29" s="19"/>
      <c r="X29" s="16"/>
      <c r="Z29" s="500"/>
      <c r="AA29" s="500"/>
    </row>
    <row r="30" spans="1:27">
      <c r="A30" s="10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9"/>
      <c r="R30" s="19"/>
      <c r="S30" s="19"/>
      <c r="T30" s="19"/>
      <c r="U30" s="19"/>
      <c r="V30" s="19"/>
      <c r="X30" s="16"/>
      <c r="Z30" s="500"/>
      <c r="AA30" s="500"/>
    </row>
    <row r="31" spans="1:27">
      <c r="A31" s="10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9"/>
      <c r="R31" s="19"/>
      <c r="S31" s="19"/>
      <c r="T31" s="19"/>
      <c r="U31" s="19"/>
      <c r="V31" s="19"/>
      <c r="X31" s="16"/>
      <c r="Z31" s="427"/>
      <c r="AA31" s="427"/>
    </row>
    <row r="32" spans="1:27">
      <c r="A32" s="10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9"/>
      <c r="R32" s="19"/>
      <c r="S32" s="19"/>
      <c r="T32" s="19"/>
      <c r="U32" s="19"/>
      <c r="V32" s="19"/>
      <c r="X32" s="16"/>
      <c r="Z32" s="407"/>
      <c r="AA32" s="407"/>
    </row>
    <row r="33" spans="1:34" s="21" customFormat="1" ht="15" customHeight="1">
      <c r="A33" s="19"/>
      <c r="B33" s="20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3"/>
      <c r="R33" s="12"/>
      <c r="S33" s="12"/>
      <c r="T33" s="12"/>
      <c r="U33" s="13"/>
      <c r="V33" s="13"/>
      <c r="W33" s="4"/>
      <c r="X33" s="16"/>
      <c r="Y33" s="381"/>
      <c r="Z33" s="407"/>
      <c r="AA33" s="407"/>
      <c r="AB33" s="4"/>
      <c r="AG33" s="22"/>
      <c r="AH33" s="22"/>
    </row>
    <row r="34" spans="1:34" s="21" customFormat="1" ht="15" customHeight="1">
      <c r="A34" s="19"/>
      <c r="B34" s="20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3"/>
      <c r="R34" s="12"/>
      <c r="S34" s="12"/>
      <c r="T34" s="12"/>
      <c r="U34" s="13"/>
      <c r="V34" s="13"/>
      <c r="W34" s="16"/>
      <c r="X34" s="16"/>
      <c r="Y34" s="381"/>
      <c r="Z34" s="407"/>
      <c r="AA34" s="407"/>
      <c r="AB34" s="4"/>
      <c r="AG34" s="22"/>
      <c r="AH34" s="22"/>
    </row>
    <row r="35" spans="1:34" s="19" customFormat="1" ht="15" customHeight="1">
      <c r="B35" s="20"/>
      <c r="Q35" s="13"/>
      <c r="R35" s="12"/>
      <c r="S35" s="12"/>
      <c r="T35" s="12"/>
      <c r="U35" s="13"/>
      <c r="V35" s="13"/>
      <c r="W35" s="21"/>
      <c r="X35" s="16"/>
      <c r="Y35" s="381"/>
      <c r="Z35" s="407"/>
      <c r="AA35" s="407"/>
      <c r="AB35" s="4"/>
    </row>
    <row r="36" spans="1:34" s="12" customFormat="1">
      <c r="A36" s="10"/>
      <c r="B36" s="11"/>
      <c r="Q36" s="13"/>
      <c r="U36" s="13"/>
      <c r="V36" s="13"/>
      <c r="W36" s="22"/>
      <c r="X36" s="327"/>
      <c r="Y36" s="500"/>
      <c r="Z36" s="407"/>
      <c r="AA36" s="407"/>
      <c r="AB36" s="21"/>
    </row>
    <row r="37" spans="1:34" s="12" customFormat="1">
      <c r="A37" s="10"/>
      <c r="B37" s="11"/>
      <c r="Q37" s="13"/>
      <c r="U37" s="13"/>
      <c r="V37" s="13"/>
      <c r="W37" s="19"/>
      <c r="X37" s="21"/>
      <c r="Y37" s="500"/>
      <c r="Z37" s="407"/>
      <c r="AA37" s="407"/>
      <c r="AB37" s="21"/>
    </row>
    <row r="38" spans="1:34" s="12" customFormat="1">
      <c r="A38" s="10"/>
      <c r="B38" s="11"/>
      <c r="Q38" s="13"/>
      <c r="U38" s="13"/>
      <c r="V38" s="13"/>
      <c r="X38" s="19"/>
      <c r="Y38" s="427"/>
      <c r="Z38" s="381"/>
      <c r="AA38" s="381"/>
      <c r="AB38" s="19"/>
    </row>
    <row r="39" spans="1:34" s="12" customFormat="1">
      <c r="A39" s="10"/>
      <c r="B39" s="11"/>
      <c r="Q39" s="13"/>
      <c r="U39" s="13"/>
      <c r="V39" s="13"/>
      <c r="Y39" s="407"/>
      <c r="Z39" s="381"/>
      <c r="AA39" s="381"/>
    </row>
    <row r="40" spans="1:34" s="12" customFormat="1">
      <c r="A40" s="10"/>
      <c r="B40" s="11"/>
      <c r="Q40" s="13"/>
      <c r="U40" s="13"/>
      <c r="V40" s="13"/>
      <c r="Y40" s="407"/>
      <c r="Z40" s="381"/>
      <c r="AA40" s="381"/>
    </row>
    <row r="41" spans="1:34" s="12" customFormat="1">
      <c r="A41" s="10"/>
      <c r="B41" s="11"/>
      <c r="Q41" s="13"/>
      <c r="U41" s="13"/>
      <c r="V41" s="13"/>
      <c r="Y41" s="407"/>
      <c r="Z41" s="381"/>
      <c r="AA41" s="381"/>
    </row>
    <row r="42" spans="1:34">
      <c r="W42" s="12"/>
      <c r="X42" s="12"/>
      <c r="Y42" s="407"/>
      <c r="AB42" s="12"/>
    </row>
    <row r="43" spans="1:34">
      <c r="W43" s="12"/>
      <c r="X43" s="12"/>
      <c r="Y43" s="407"/>
      <c r="AB43" s="12"/>
    </row>
    <row r="44" spans="1:34">
      <c r="H44" s="25"/>
      <c r="I44" s="25"/>
      <c r="K44" s="12"/>
      <c r="L44" s="407"/>
      <c r="M44" s="381"/>
      <c r="N44" s="381"/>
      <c r="O44" s="12"/>
      <c r="Q44" s="4"/>
      <c r="U44" s="4"/>
      <c r="V44" s="4"/>
      <c r="Y44" s="4"/>
      <c r="Z44" s="4"/>
      <c r="AA44" s="4"/>
    </row>
    <row r="45" spans="1:34">
      <c r="H45" s="25"/>
      <c r="I45" s="25"/>
      <c r="L45" s="381"/>
      <c r="M45" s="381"/>
      <c r="N45" s="381"/>
      <c r="Q45" s="4"/>
      <c r="U45" s="4"/>
      <c r="V45" s="4"/>
      <c r="Y45" s="4"/>
      <c r="Z45" s="4"/>
      <c r="AA45" s="4"/>
    </row>
    <row r="46" spans="1:34">
      <c r="H46" s="25"/>
      <c r="I46" s="25"/>
      <c r="L46" s="381"/>
      <c r="M46" s="381"/>
      <c r="N46" s="381"/>
      <c r="Q46" s="4"/>
      <c r="U46" s="4"/>
      <c r="V46" s="4"/>
      <c r="Y46" s="4"/>
      <c r="Z46" s="4"/>
      <c r="AA46" s="4"/>
    </row>
    <row r="47" spans="1:34">
      <c r="H47" s="25"/>
      <c r="I47" s="25"/>
      <c r="L47" s="381"/>
      <c r="M47" s="381"/>
      <c r="N47" s="381"/>
      <c r="Q47" s="4"/>
      <c r="U47" s="4"/>
      <c r="V47" s="4"/>
      <c r="Y47" s="4"/>
      <c r="Z47" s="4"/>
      <c r="AA47" s="4"/>
    </row>
    <row r="48" spans="1:34">
      <c r="H48" s="25"/>
      <c r="I48" s="25"/>
      <c r="L48" s="381"/>
      <c r="M48" s="381"/>
      <c r="N48" s="381"/>
      <c r="Q48" s="4"/>
      <c r="U48" s="4"/>
      <c r="V48" s="4"/>
      <c r="Y48" s="4"/>
      <c r="Z48" s="4"/>
      <c r="AA48" s="4"/>
    </row>
    <row r="49" spans="8:27">
      <c r="H49" s="25"/>
      <c r="I49" s="25"/>
      <c r="L49" s="381"/>
      <c r="M49" s="381"/>
      <c r="N49" s="381"/>
      <c r="Q49" s="4"/>
      <c r="U49" s="4"/>
      <c r="V49" s="4"/>
      <c r="Y49" s="4"/>
      <c r="Z49" s="4"/>
      <c r="AA49" s="4"/>
    </row>
    <row r="50" spans="8:27">
      <c r="H50" s="25"/>
      <c r="I50" s="25"/>
      <c r="L50" s="381"/>
      <c r="M50" s="381"/>
      <c r="N50" s="381"/>
      <c r="Q50" s="4"/>
      <c r="U50" s="4"/>
      <c r="V50" s="4"/>
      <c r="Y50" s="4"/>
      <c r="Z50" s="4"/>
      <c r="AA50" s="4"/>
    </row>
    <row r="51" spans="8:27">
      <c r="H51" s="25"/>
      <c r="I51" s="25"/>
      <c r="L51" s="381"/>
      <c r="M51" s="381"/>
      <c r="N51" s="381"/>
      <c r="Q51" s="4"/>
      <c r="U51" s="4"/>
      <c r="V51" s="4"/>
      <c r="Y51" s="4"/>
      <c r="Z51" s="4"/>
      <c r="AA51" s="4"/>
    </row>
    <row r="52" spans="8:27">
      <c r="H52" s="25"/>
      <c r="I52" s="25"/>
      <c r="L52" s="381"/>
      <c r="M52" s="381"/>
      <c r="N52" s="381"/>
      <c r="Q52" s="4"/>
      <c r="U52" s="4"/>
      <c r="V52" s="4"/>
      <c r="Y52" s="4"/>
      <c r="Z52" s="4"/>
      <c r="AA52" s="4"/>
    </row>
    <row r="53" spans="8:27">
      <c r="H53" s="25"/>
      <c r="I53" s="25"/>
      <c r="L53" s="381"/>
      <c r="M53" s="381"/>
      <c r="N53" s="381"/>
      <c r="Q53" s="4"/>
      <c r="U53" s="4"/>
      <c r="V53" s="4"/>
      <c r="Y53" s="4"/>
      <c r="Z53" s="4"/>
      <c r="AA53" s="4"/>
    </row>
    <row r="54" spans="8:27">
      <c r="H54" s="25"/>
      <c r="I54" s="25"/>
      <c r="L54" s="381"/>
      <c r="M54" s="381"/>
      <c r="N54" s="381"/>
      <c r="Q54" s="4"/>
      <c r="U54" s="4"/>
      <c r="V54" s="4"/>
      <c r="Y54" s="4"/>
      <c r="Z54" s="4"/>
      <c r="AA54" s="4"/>
    </row>
  </sheetData>
  <mergeCells count="16">
    <mergeCell ref="A3:U3"/>
    <mergeCell ref="O5:S5"/>
    <mergeCell ref="A13:B13"/>
    <mergeCell ref="A1:U1"/>
    <mergeCell ref="A2:U2"/>
    <mergeCell ref="A5:A6"/>
    <mergeCell ref="B5:B6"/>
    <mergeCell ref="C5:C6"/>
    <mergeCell ref="D5:H5"/>
    <mergeCell ref="I5:I6"/>
    <mergeCell ref="J5:J6"/>
    <mergeCell ref="K5:M5"/>
    <mergeCell ref="N5:N6"/>
    <mergeCell ref="T5:T6"/>
    <mergeCell ref="U5:U6"/>
    <mergeCell ref="A7:U7"/>
  </mergeCells>
  <printOptions horizontalCentered="1"/>
  <pageMargins left="0.19685039370078741" right="0.19685039370078741" top="0.35433070866141736" bottom="0.31496062992125984" header="0.31496062992125984" footer="0.23622047244094491"/>
  <pageSetup paperSize="9"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rgb="FF92D050"/>
  </sheetPr>
  <dimension ref="A1:AI54"/>
  <sheetViews>
    <sheetView view="pageBreakPreview" zoomScale="85" zoomScaleNormal="100" zoomScaleSheetLayoutView="85" zoomScalePageLayoutView="80" workbookViewId="0">
      <selection activeCell="A8" sqref="A8:A9"/>
    </sheetView>
  </sheetViews>
  <sheetFormatPr defaultColWidth="9.140625" defaultRowHeight="12.75"/>
  <cols>
    <col min="1" max="1" width="4.140625" style="156" customWidth="1"/>
    <col min="2" max="2" width="13.42578125" style="156" customWidth="1"/>
    <col min="3" max="3" width="21.7109375" style="157" customWidth="1"/>
    <col min="4" max="4" width="16.7109375" style="158" customWidth="1"/>
    <col min="5" max="5" width="16" style="156" customWidth="1"/>
    <col min="6" max="6" width="10.5703125" style="157" customWidth="1"/>
    <col min="7" max="7" width="5.5703125" style="159" customWidth="1"/>
    <col min="8" max="8" width="5.5703125" style="160" customWidth="1"/>
    <col min="9" max="9" width="5.7109375" style="157" customWidth="1"/>
    <col min="10" max="10" width="8.85546875" style="160" customWidth="1"/>
    <col min="11" max="11" width="9.42578125" style="160" customWidth="1"/>
    <col min="12" max="12" width="10.85546875" style="161" customWidth="1"/>
    <col min="13" max="13" width="11" style="161" customWidth="1"/>
    <col min="14" max="15" width="8.5703125" style="161" customWidth="1"/>
    <col min="16" max="16" width="7.42578125" style="161" customWidth="1"/>
    <col min="17" max="17" width="9.7109375" style="162" customWidth="1"/>
    <col min="18" max="18" width="9.7109375" style="163" customWidth="1"/>
    <col min="19" max="19" width="7.5703125" style="157" customWidth="1"/>
    <col min="20" max="20" width="7.7109375" style="156" customWidth="1"/>
    <col min="21" max="21" width="8" style="157" customWidth="1"/>
    <col min="22" max="22" width="8.42578125" style="163" customWidth="1"/>
    <col min="23" max="23" width="7.7109375" style="165" customWidth="1"/>
    <col min="24" max="24" width="7.7109375" style="157" customWidth="1"/>
    <col min="25" max="25" width="6.85546875" style="157" customWidth="1"/>
    <col min="26" max="27" width="7.140625" style="156" customWidth="1"/>
    <col min="28" max="28" width="7.85546875" style="156" customWidth="1"/>
    <col min="29" max="29" width="8.7109375" style="156" customWidth="1"/>
    <col min="30" max="30" width="6.28515625" style="156" bestFit="1" customWidth="1"/>
    <col min="31" max="31" width="15" style="156" bestFit="1" customWidth="1"/>
    <col min="32" max="32" width="10.85546875" style="157" customWidth="1"/>
    <col min="33" max="33" width="13.42578125" style="157" bestFit="1" customWidth="1"/>
    <col min="34" max="34" width="9" style="157" bestFit="1" customWidth="1"/>
    <col min="35" max="35" width="23" style="325" customWidth="1"/>
    <col min="36" max="16384" width="9.140625" style="157"/>
  </cols>
  <sheetData>
    <row r="1" spans="1:35" s="26" customFormat="1" ht="25.5">
      <c r="A1" s="1157" t="s">
        <v>839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  <c r="O1" s="1157"/>
      <c r="P1" s="1157"/>
      <c r="Q1" s="1157"/>
      <c r="R1" s="1157"/>
      <c r="S1" s="1157"/>
      <c r="T1" s="1157"/>
      <c r="U1" s="1157"/>
      <c r="V1" s="1157"/>
      <c r="W1" s="1157"/>
      <c r="X1" s="1157"/>
      <c r="Y1" s="1157"/>
      <c r="Z1" s="1157"/>
      <c r="AA1" s="1157"/>
      <c r="AB1" s="1157"/>
      <c r="AC1" s="1157"/>
      <c r="AD1" s="1157"/>
      <c r="AE1" s="1157"/>
      <c r="AI1" s="316"/>
    </row>
    <row r="2" spans="1:35" s="26" customFormat="1" ht="18">
      <c r="A2" s="1158" t="s">
        <v>1</v>
      </c>
      <c r="B2" s="1158"/>
      <c r="C2" s="1158"/>
      <c r="D2" s="1158"/>
      <c r="E2" s="1158"/>
      <c r="F2" s="1158"/>
      <c r="G2" s="1158"/>
      <c r="H2" s="1158"/>
      <c r="I2" s="1158"/>
      <c r="J2" s="1158"/>
      <c r="K2" s="1158"/>
      <c r="L2" s="1158"/>
      <c r="M2" s="1158"/>
      <c r="N2" s="1158"/>
      <c r="O2" s="1158"/>
      <c r="P2" s="1158"/>
      <c r="Q2" s="1158"/>
      <c r="R2" s="1158"/>
      <c r="S2" s="1158"/>
      <c r="T2" s="1158"/>
      <c r="U2" s="1158"/>
      <c r="V2" s="1158"/>
      <c r="W2" s="1158"/>
      <c r="X2" s="1158"/>
      <c r="Y2" s="1158"/>
      <c r="Z2" s="1158"/>
      <c r="AA2" s="1158"/>
      <c r="AB2" s="1158"/>
      <c r="AC2" s="1158"/>
      <c r="AD2" s="1158"/>
      <c r="AE2" s="1158"/>
      <c r="AI2" s="316"/>
    </row>
    <row r="3" spans="1:35" s="26" customFormat="1" ht="18">
      <c r="A3" s="1158" t="str">
        <f>Pesticide!A3</f>
        <v>Salary Statement for the month of  December - 2024</v>
      </c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E3" s="1158"/>
      <c r="AI3" s="316"/>
    </row>
    <row r="4" spans="1:35" s="26" customFormat="1" ht="20.25">
      <c r="A4" s="27"/>
      <c r="B4" s="27"/>
      <c r="C4" s="27"/>
      <c r="D4" s="28"/>
      <c r="E4" s="27"/>
      <c r="F4" s="27"/>
      <c r="G4" s="27"/>
      <c r="H4" s="246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9" t="s">
        <v>2</v>
      </c>
      <c r="AI4" s="316"/>
    </row>
    <row r="5" spans="1:35" s="30" customFormat="1" ht="19.5" customHeight="1">
      <c r="A5" s="1190" t="s">
        <v>3</v>
      </c>
      <c r="B5" s="1191" t="s">
        <v>30</v>
      </c>
      <c r="C5" s="1192" t="s">
        <v>31</v>
      </c>
      <c r="D5" s="1193" t="s">
        <v>32</v>
      </c>
      <c r="E5" s="1193" t="s">
        <v>503</v>
      </c>
      <c r="F5" s="1193" t="s">
        <v>34</v>
      </c>
      <c r="G5" s="1194" t="s">
        <v>35</v>
      </c>
      <c r="H5" s="1194" t="s">
        <v>36</v>
      </c>
      <c r="I5" s="1194" t="s">
        <v>37</v>
      </c>
      <c r="J5" s="1194" t="s">
        <v>38</v>
      </c>
      <c r="K5" s="1195" t="s">
        <v>7</v>
      </c>
      <c r="L5" s="1197" t="s">
        <v>39</v>
      </c>
      <c r="M5" s="1197"/>
      <c r="N5" s="1197"/>
      <c r="O5" s="1197"/>
      <c r="P5" s="1197"/>
      <c r="Q5" s="1183" t="s">
        <v>7</v>
      </c>
      <c r="R5" s="1183" t="s">
        <v>8</v>
      </c>
      <c r="S5" s="1184" t="s">
        <v>9</v>
      </c>
      <c r="T5" s="1184"/>
      <c r="U5" s="1184"/>
      <c r="V5" s="1185" t="s">
        <v>40</v>
      </c>
      <c r="W5" s="1187" t="s">
        <v>10</v>
      </c>
      <c r="X5" s="1188"/>
      <c r="Y5" s="1188"/>
      <c r="Z5" s="1188"/>
      <c r="AA5" s="1189"/>
      <c r="AB5" s="1185" t="s">
        <v>11</v>
      </c>
      <c r="AC5" s="1186" t="s">
        <v>41</v>
      </c>
      <c r="AD5" s="1181" t="s">
        <v>42</v>
      </c>
      <c r="AE5" s="1182" t="s">
        <v>43</v>
      </c>
      <c r="AI5" s="317"/>
    </row>
    <row r="6" spans="1:35" s="272" customFormat="1" ht="63.75" customHeight="1">
      <c r="A6" s="1190"/>
      <c r="B6" s="1191"/>
      <c r="C6" s="1192"/>
      <c r="D6" s="1193"/>
      <c r="E6" s="1193"/>
      <c r="F6" s="1193"/>
      <c r="G6" s="1194"/>
      <c r="H6" s="1194"/>
      <c r="I6" s="1194"/>
      <c r="J6" s="1194"/>
      <c r="K6" s="1196"/>
      <c r="L6" s="270" t="s">
        <v>13</v>
      </c>
      <c r="M6" s="270" t="s">
        <v>14</v>
      </c>
      <c r="N6" s="271" t="s">
        <v>15</v>
      </c>
      <c r="O6" s="271" t="s">
        <v>16</v>
      </c>
      <c r="P6" s="271" t="s">
        <v>17</v>
      </c>
      <c r="Q6" s="1183"/>
      <c r="R6" s="1183"/>
      <c r="S6" s="350" t="s">
        <v>18</v>
      </c>
      <c r="T6" s="350" t="s">
        <v>19</v>
      </c>
      <c r="U6" s="350" t="s">
        <v>623</v>
      </c>
      <c r="V6" s="1185"/>
      <c r="W6" s="350" t="s">
        <v>21</v>
      </c>
      <c r="X6" s="350" t="s">
        <v>585</v>
      </c>
      <c r="Y6" s="252" t="s">
        <v>1249</v>
      </c>
      <c r="Z6" s="350" t="s">
        <v>536</v>
      </c>
      <c r="AA6" s="350" t="s">
        <v>951</v>
      </c>
      <c r="AB6" s="1185"/>
      <c r="AC6" s="1186"/>
      <c r="AD6" s="1181"/>
      <c r="AE6" s="1182"/>
      <c r="AI6" s="318"/>
    </row>
    <row r="7" spans="1:35" s="47" customFormat="1" ht="24.95" customHeight="1">
      <c r="A7" s="89" t="s">
        <v>357</v>
      </c>
      <c r="B7" s="90"/>
      <c r="C7" s="90"/>
      <c r="D7" s="281"/>
      <c r="E7" s="90"/>
      <c r="F7" s="90"/>
      <c r="G7" s="90"/>
      <c r="H7" s="284"/>
      <c r="I7" s="90"/>
      <c r="J7" s="90"/>
      <c r="K7" s="119"/>
      <c r="L7" s="119"/>
      <c r="M7" s="119"/>
      <c r="N7" s="119"/>
      <c r="O7" s="119"/>
      <c r="P7" s="119"/>
      <c r="Q7" s="119"/>
      <c r="R7" s="268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20"/>
      <c r="AG7" s="61"/>
      <c r="AH7" s="198"/>
      <c r="AI7" s="320"/>
    </row>
    <row r="8" spans="1:35" s="61" customFormat="1" ht="24.95" customHeight="1">
      <c r="A8" s="48"/>
      <c r="B8" s="49"/>
      <c r="C8" s="50"/>
      <c r="D8" s="279"/>
      <c r="E8" s="51"/>
      <c r="F8" s="288"/>
      <c r="G8" s="52"/>
      <c r="H8" s="53"/>
      <c r="I8" s="52"/>
      <c r="J8" s="53"/>
      <c r="K8" s="58"/>
      <c r="L8" s="54"/>
      <c r="M8" s="54"/>
      <c r="N8" s="54"/>
      <c r="O8" s="54"/>
      <c r="P8" s="55"/>
      <c r="Q8" s="56"/>
      <c r="R8" s="188"/>
      <c r="S8" s="58"/>
      <c r="T8" s="58"/>
      <c r="U8" s="393"/>
      <c r="V8" s="57"/>
      <c r="W8" s="58"/>
      <c r="X8" s="58"/>
      <c r="Y8" s="393"/>
      <c r="Z8" s="58"/>
      <c r="AA8" s="58"/>
      <c r="AB8" s="394"/>
      <c r="AC8" s="59"/>
      <c r="AD8" s="504"/>
      <c r="AE8" s="504"/>
      <c r="AG8" s="61" t="e">
        <f>VLOOKUP(B8,'Salary -Dec-2024 (Full)'!$B$8:$AC$331,27,0)</f>
        <v>#N/A</v>
      </c>
      <c r="AH8" s="183" t="e">
        <f t="shared" ref="AH8:AH9" si="0">AC8-AG8</f>
        <v>#N/A</v>
      </c>
      <c r="AI8" s="320"/>
    </row>
    <row r="9" spans="1:35" s="61" customFormat="1" ht="24.95" customHeight="1">
      <c r="A9" s="75"/>
      <c r="B9" s="76"/>
      <c r="C9" s="77"/>
      <c r="D9" s="280"/>
      <c r="E9" s="78"/>
      <c r="F9" s="488"/>
      <c r="G9" s="79"/>
      <c r="H9" s="80"/>
      <c r="I9" s="79"/>
      <c r="J9" s="80"/>
      <c r="K9" s="395"/>
      <c r="L9" s="81"/>
      <c r="M9" s="81"/>
      <c r="N9" s="81"/>
      <c r="O9" s="81"/>
      <c r="P9" s="82"/>
      <c r="Q9" s="83"/>
      <c r="R9" s="70"/>
      <c r="S9" s="395"/>
      <c r="T9" s="395"/>
      <c r="U9" s="396"/>
      <c r="V9" s="84"/>
      <c r="W9" s="395"/>
      <c r="X9" s="395"/>
      <c r="Y9" s="396"/>
      <c r="Z9" s="395"/>
      <c r="AA9" s="395"/>
      <c r="AB9" s="769"/>
      <c r="AC9" s="770"/>
      <c r="AD9" s="506"/>
      <c r="AE9" s="506"/>
      <c r="AG9" s="61" t="e">
        <f>VLOOKUP(B9,'Salary -Dec-2024 (Full)'!$B$8:$AC$331,27,0)</f>
        <v>#N/A</v>
      </c>
      <c r="AH9" s="183" t="e">
        <f t="shared" si="0"/>
        <v>#N/A</v>
      </c>
      <c r="AI9" s="320"/>
    </row>
    <row r="10" spans="1:35" s="30" customFormat="1" ht="24.95" customHeight="1">
      <c r="A10" s="101"/>
      <c r="B10" s="102"/>
      <c r="C10" s="103"/>
      <c r="D10" s="282"/>
      <c r="E10" s="104"/>
      <c r="F10" s="105"/>
      <c r="G10" s="105"/>
      <c r="H10" s="105"/>
      <c r="I10" s="105"/>
      <c r="J10" s="105"/>
      <c r="K10" s="107">
        <f t="shared" ref="K10:AC10" si="1">SUM(K8:K9)</f>
        <v>0</v>
      </c>
      <c r="L10" s="107">
        <f t="shared" si="1"/>
        <v>0</v>
      </c>
      <c r="M10" s="107">
        <f t="shared" si="1"/>
        <v>0</v>
      </c>
      <c r="N10" s="107">
        <f t="shared" si="1"/>
        <v>0</v>
      </c>
      <c r="O10" s="107">
        <f t="shared" si="1"/>
        <v>0</v>
      </c>
      <c r="P10" s="107">
        <f t="shared" si="1"/>
        <v>0</v>
      </c>
      <c r="Q10" s="107">
        <f t="shared" si="1"/>
        <v>0</v>
      </c>
      <c r="R10" s="107">
        <f t="shared" si="1"/>
        <v>0</v>
      </c>
      <c r="S10" s="107">
        <f t="shared" si="1"/>
        <v>0</v>
      </c>
      <c r="T10" s="107">
        <f t="shared" si="1"/>
        <v>0</v>
      </c>
      <c r="U10" s="107">
        <f t="shared" si="1"/>
        <v>0</v>
      </c>
      <c r="V10" s="107">
        <f t="shared" si="1"/>
        <v>0</v>
      </c>
      <c r="W10" s="107">
        <f t="shared" si="1"/>
        <v>0</v>
      </c>
      <c r="X10" s="107">
        <f t="shared" si="1"/>
        <v>0</v>
      </c>
      <c r="Y10" s="107">
        <f t="shared" si="1"/>
        <v>0</v>
      </c>
      <c r="Z10" s="107">
        <f t="shared" si="1"/>
        <v>0</v>
      </c>
      <c r="AA10" s="107">
        <f t="shared" si="1"/>
        <v>0</v>
      </c>
      <c r="AB10" s="107">
        <f t="shared" si="1"/>
        <v>0</v>
      </c>
      <c r="AC10" s="107">
        <f t="shared" si="1"/>
        <v>0</v>
      </c>
      <c r="AD10" s="114"/>
      <c r="AE10" s="113"/>
      <c r="AG10" s="61"/>
      <c r="AH10" s="198"/>
      <c r="AI10" s="320"/>
    </row>
    <row r="11" spans="1:35" s="47" customFormat="1" ht="20.25" customHeight="1">
      <c r="A11" s="201"/>
      <c r="B11" s="202"/>
      <c r="C11" s="203"/>
      <c r="D11" s="204"/>
      <c r="E11" s="205"/>
      <c r="F11" s="206"/>
      <c r="G11" s="208"/>
      <c r="H11" s="207"/>
      <c r="I11" s="208"/>
      <c r="J11" s="207"/>
      <c r="K11" s="274"/>
      <c r="L11" s="274"/>
      <c r="M11" s="274"/>
      <c r="N11" s="274"/>
      <c r="O11" s="274"/>
      <c r="P11" s="39"/>
      <c r="Q11" s="275"/>
      <c r="R11" s="275"/>
      <c r="S11" s="41"/>
      <c r="T11" s="41"/>
      <c r="U11" s="42"/>
      <c r="V11" s="276"/>
      <c r="W11" s="274"/>
      <c r="X11" s="44"/>
      <c r="Y11" s="41"/>
      <c r="Z11" s="41"/>
      <c r="AA11" s="41"/>
      <c r="AB11" s="45"/>
      <c r="AC11" s="45"/>
      <c r="AD11" s="277"/>
      <c r="AE11" s="35"/>
      <c r="AI11" s="320"/>
    </row>
    <row r="12" spans="1:35" s="30" customFormat="1" ht="24.95" customHeight="1" thickBot="1">
      <c r="A12" s="101">
        <f>A9</f>
        <v>0</v>
      </c>
      <c r="B12" s="102"/>
      <c r="C12" s="103"/>
      <c r="D12" s="282"/>
      <c r="E12" s="104"/>
      <c r="F12" s="105"/>
      <c r="G12" s="105"/>
      <c r="H12" s="105"/>
      <c r="I12" s="105"/>
      <c r="J12" s="105"/>
      <c r="K12" s="273">
        <f>K10</f>
        <v>0</v>
      </c>
      <c r="L12" s="273">
        <f t="shared" ref="L12:AC12" si="2">L10</f>
        <v>0</v>
      </c>
      <c r="M12" s="273">
        <f t="shared" si="2"/>
        <v>0</v>
      </c>
      <c r="N12" s="273">
        <f t="shared" si="2"/>
        <v>0</v>
      </c>
      <c r="O12" s="273">
        <f t="shared" si="2"/>
        <v>0</v>
      </c>
      <c r="P12" s="273">
        <f t="shared" si="2"/>
        <v>0</v>
      </c>
      <c r="Q12" s="273">
        <f t="shared" si="2"/>
        <v>0</v>
      </c>
      <c r="R12" s="273">
        <f t="shared" si="2"/>
        <v>0</v>
      </c>
      <c r="S12" s="273">
        <f t="shared" si="2"/>
        <v>0</v>
      </c>
      <c r="T12" s="273">
        <f t="shared" si="2"/>
        <v>0</v>
      </c>
      <c r="U12" s="273">
        <f t="shared" si="2"/>
        <v>0</v>
      </c>
      <c r="V12" s="273">
        <f t="shared" si="2"/>
        <v>0</v>
      </c>
      <c r="W12" s="273">
        <f t="shared" si="2"/>
        <v>0</v>
      </c>
      <c r="X12" s="273">
        <f t="shared" si="2"/>
        <v>0</v>
      </c>
      <c r="Y12" s="273">
        <f t="shared" si="2"/>
        <v>0</v>
      </c>
      <c r="Z12" s="273">
        <f t="shared" si="2"/>
        <v>0</v>
      </c>
      <c r="AA12" s="273">
        <f t="shared" si="2"/>
        <v>0</v>
      </c>
      <c r="AB12" s="273">
        <f t="shared" si="2"/>
        <v>0</v>
      </c>
      <c r="AC12" s="273">
        <f t="shared" si="2"/>
        <v>0</v>
      </c>
      <c r="AD12" s="87"/>
      <c r="AE12" s="88"/>
      <c r="AI12" s="317"/>
    </row>
    <row r="13" spans="1:35" s="142" customFormat="1" ht="24.95" customHeight="1" thickTop="1">
      <c r="A13" s="132"/>
      <c r="B13" s="133"/>
      <c r="C13" s="134"/>
      <c r="D13" s="135"/>
      <c r="E13" s="136"/>
      <c r="F13" s="137"/>
      <c r="G13" s="138"/>
      <c r="H13" s="138"/>
      <c r="I13" s="139"/>
      <c r="J13" s="139"/>
      <c r="K13" s="139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1"/>
      <c r="AE13" s="136"/>
      <c r="AI13" s="321"/>
    </row>
    <row r="14" spans="1:35" s="130" customFormat="1" ht="20.100000000000001" customHeight="1">
      <c r="A14" s="121"/>
      <c r="B14" s="121"/>
      <c r="C14" s="122"/>
      <c r="D14" s="143"/>
      <c r="E14" s="121"/>
      <c r="F14" s="122"/>
      <c r="G14" s="124"/>
      <c r="H14" s="124"/>
      <c r="I14" s="123"/>
      <c r="J14" s="124"/>
      <c r="K14" s="124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W14" s="14"/>
      <c r="X14" s="127" t="s">
        <v>29</v>
      </c>
      <c r="Y14" s="126"/>
      <c r="Z14" s="125"/>
      <c r="AA14" s="125"/>
      <c r="AB14" s="125"/>
      <c r="AC14" s="127" t="s">
        <v>23</v>
      </c>
      <c r="AD14" s="128" t="s">
        <v>24</v>
      </c>
      <c r="AE14" s="15">
        <f>SUMIF(AD$7:AD$10,AC14,AC$7:AC$10)</f>
        <v>0</v>
      </c>
      <c r="AI14" s="322"/>
    </row>
    <row r="15" spans="1:35" s="130" customFormat="1" ht="20.100000000000001" customHeight="1">
      <c r="A15" s="121"/>
      <c r="B15" s="121"/>
      <c r="C15" s="122"/>
      <c r="D15" s="143"/>
      <c r="E15" s="121"/>
      <c r="F15" s="122"/>
      <c r="G15" s="124"/>
      <c r="H15" s="124"/>
      <c r="I15" s="123"/>
      <c r="J15" s="124"/>
      <c r="K15" s="124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4"/>
      <c r="W15" s="14"/>
      <c r="X15" s="125"/>
      <c r="Y15" s="126"/>
      <c r="Z15" s="125"/>
      <c r="AA15" s="125"/>
      <c r="AB15" s="125"/>
      <c r="AC15" s="127" t="s">
        <v>25</v>
      </c>
      <c r="AD15" s="128" t="s">
        <v>24</v>
      </c>
      <c r="AE15" s="15">
        <f>SUMIF(AD$7:AD$10,AC15,AC$7:AC$10)</f>
        <v>0</v>
      </c>
      <c r="AI15" s="322"/>
    </row>
    <row r="16" spans="1:35" s="130" customFormat="1" ht="20.100000000000001" customHeight="1" thickBot="1">
      <c r="A16" s="121"/>
      <c r="B16" s="121"/>
      <c r="C16" s="122"/>
      <c r="D16" s="143"/>
      <c r="E16" s="121"/>
      <c r="F16" s="122"/>
      <c r="G16" s="124"/>
      <c r="H16" s="124"/>
      <c r="I16" s="123"/>
      <c r="J16" s="124"/>
      <c r="K16" s="124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4"/>
      <c r="W16" s="14"/>
      <c r="X16" s="125"/>
      <c r="Y16" s="126"/>
      <c r="Z16" s="125"/>
      <c r="AA16" s="125"/>
      <c r="AB16" s="125"/>
      <c r="AC16" s="127"/>
      <c r="AD16" s="128"/>
      <c r="AE16" s="144">
        <f>SUM(AE14:AE15)</f>
        <v>0</v>
      </c>
      <c r="AI16" s="322"/>
    </row>
    <row r="17" spans="1:35" s="130" customFormat="1" ht="20.100000000000001" customHeight="1" thickTop="1">
      <c r="A17" s="121"/>
      <c r="B17" s="121"/>
      <c r="C17" s="122"/>
      <c r="D17" s="143"/>
      <c r="E17" s="121"/>
      <c r="F17" s="122"/>
      <c r="G17" s="124"/>
      <c r="H17" s="124"/>
      <c r="I17" s="123"/>
      <c r="J17" s="124"/>
      <c r="K17" s="124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4"/>
      <c r="W17" s="14"/>
      <c r="X17" s="125"/>
      <c r="Y17" s="126"/>
      <c r="Z17" s="125"/>
      <c r="AA17" s="125"/>
      <c r="AB17" s="125"/>
      <c r="AC17" s="127"/>
      <c r="AD17" s="128"/>
      <c r="AE17" s="129"/>
      <c r="AI17" s="322"/>
    </row>
    <row r="18" spans="1:35" s="130" customFormat="1" ht="20.100000000000001" customHeight="1">
      <c r="A18" s="121"/>
      <c r="B18" s="121"/>
      <c r="C18" s="122"/>
      <c r="D18" s="143"/>
      <c r="E18" s="121"/>
      <c r="F18" s="122"/>
      <c r="G18" s="124"/>
      <c r="H18" s="124"/>
      <c r="I18" s="123"/>
      <c r="J18" s="124"/>
      <c r="K18" s="124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4"/>
      <c r="W18" s="14"/>
      <c r="X18" s="125"/>
      <c r="Y18" s="126"/>
      <c r="Z18" s="125"/>
      <c r="AA18" s="125"/>
      <c r="AB18" s="125"/>
      <c r="AC18" s="127"/>
      <c r="AD18" s="128"/>
      <c r="AE18" s="129"/>
      <c r="AI18" s="322"/>
    </row>
    <row r="19" spans="1:35" s="130" customFormat="1" ht="20.100000000000001" customHeight="1">
      <c r="A19" s="121"/>
      <c r="B19" s="121"/>
      <c r="C19" s="122"/>
      <c r="D19" s="143"/>
      <c r="E19" s="121"/>
      <c r="F19" s="122"/>
      <c r="G19" s="124"/>
      <c r="H19" s="124"/>
      <c r="I19" s="123"/>
      <c r="J19" s="124"/>
      <c r="K19" s="124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4"/>
      <c r="W19" s="14"/>
      <c r="X19" s="125"/>
      <c r="Y19" s="126"/>
      <c r="Z19" s="125"/>
      <c r="AA19" s="125"/>
      <c r="AB19" s="125"/>
      <c r="AC19" s="127"/>
      <c r="AD19" s="128"/>
      <c r="AE19" s="129"/>
      <c r="AI19" s="322"/>
    </row>
    <row r="20" spans="1:35" s="130" customFormat="1" ht="20.100000000000001" customHeight="1">
      <c r="A20" s="121"/>
      <c r="B20" s="121"/>
      <c r="C20" s="122"/>
      <c r="D20" s="143"/>
      <c r="E20" s="121"/>
      <c r="F20" s="122"/>
      <c r="G20" s="124"/>
      <c r="H20" s="124"/>
      <c r="I20" s="123"/>
      <c r="J20" s="124"/>
      <c r="K20" s="124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4"/>
      <c r="W20" s="14"/>
      <c r="X20" s="125"/>
      <c r="Y20" s="126"/>
      <c r="Z20" s="125"/>
      <c r="AA20" s="125"/>
      <c r="AB20" s="125"/>
      <c r="AC20" s="127"/>
      <c r="AD20" s="128"/>
      <c r="AE20" s="129"/>
      <c r="AI20" s="322"/>
    </row>
    <row r="21" spans="1:35" s="130" customFormat="1" ht="20.100000000000001" customHeight="1">
      <c r="A21" s="121"/>
      <c r="B21" s="121"/>
      <c r="C21" s="122"/>
      <c r="D21" s="143"/>
      <c r="E21" s="121"/>
      <c r="F21" s="122"/>
      <c r="G21" s="124"/>
      <c r="H21" s="124"/>
      <c r="I21" s="123"/>
      <c r="J21" s="124"/>
      <c r="K21" s="124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4"/>
      <c r="W21" s="14"/>
      <c r="X21" s="125"/>
      <c r="Y21" s="126"/>
      <c r="Z21" s="125"/>
      <c r="AA21" s="125"/>
      <c r="AB21" s="125"/>
      <c r="AC21" s="127"/>
      <c r="AD21" s="128"/>
      <c r="AE21" s="129"/>
      <c r="AI21" s="322"/>
    </row>
    <row r="22" spans="1:35" s="130" customFormat="1" ht="20.100000000000001" customHeight="1">
      <c r="A22" s="121"/>
      <c r="B22" s="121"/>
      <c r="C22" s="122"/>
      <c r="D22" s="143"/>
      <c r="E22" s="121"/>
      <c r="F22" s="122"/>
      <c r="G22" s="124"/>
      <c r="H22" s="124"/>
      <c r="I22" s="123"/>
      <c r="J22" s="124"/>
      <c r="K22" s="124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4"/>
      <c r="W22" s="14"/>
      <c r="X22" s="125"/>
      <c r="Y22" s="126"/>
      <c r="Z22" s="125"/>
      <c r="AA22" s="125"/>
      <c r="AB22" s="125"/>
      <c r="AC22" s="127"/>
      <c r="AD22" s="128"/>
      <c r="AE22" s="129"/>
      <c r="AI22" s="322"/>
    </row>
    <row r="23" spans="1:35" s="130" customFormat="1" ht="19.5" customHeight="1">
      <c r="A23" s="121"/>
      <c r="B23" s="121"/>
      <c r="C23" s="122"/>
      <c r="D23" s="143"/>
      <c r="E23" s="121"/>
      <c r="F23" s="122"/>
      <c r="G23" s="124"/>
      <c r="H23" s="124"/>
      <c r="I23" s="123"/>
      <c r="J23" s="124"/>
      <c r="K23" s="124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4"/>
      <c r="W23" s="14"/>
      <c r="X23" s="14"/>
      <c r="Y23" s="14"/>
      <c r="Z23" s="13"/>
      <c r="AA23" s="13"/>
      <c r="AB23" s="12"/>
      <c r="AC23" s="12"/>
      <c r="AE23" s="129"/>
      <c r="AI23" s="322"/>
    </row>
    <row r="24" spans="1:35" s="130" customFormat="1" ht="15">
      <c r="A24" s="121"/>
      <c r="B24" s="121"/>
      <c r="C24" s="122"/>
      <c r="D24" s="143"/>
      <c r="E24" s="121"/>
      <c r="F24" s="122"/>
      <c r="G24" s="124"/>
      <c r="H24" s="124"/>
      <c r="I24" s="123"/>
      <c r="J24" s="124"/>
      <c r="K24" s="124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45"/>
      <c r="AE24" s="145"/>
      <c r="AI24" s="322"/>
    </row>
    <row r="25" spans="1:35" s="130" customFormat="1" ht="19.5" customHeight="1">
      <c r="A25" s="121"/>
      <c r="B25" s="121"/>
      <c r="C25" s="122"/>
      <c r="D25" s="143"/>
      <c r="E25" s="121"/>
      <c r="F25" s="122"/>
      <c r="G25" s="124"/>
      <c r="H25" s="124"/>
      <c r="I25" s="123"/>
      <c r="J25" s="124"/>
      <c r="K25" s="124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45"/>
      <c r="AE25" s="145"/>
      <c r="AI25" s="322"/>
    </row>
    <row r="26" spans="1:35" s="130" customFormat="1" ht="19.5" customHeight="1">
      <c r="A26" s="121"/>
      <c r="B26" s="121"/>
      <c r="C26" s="122"/>
      <c r="D26" s="143"/>
      <c r="E26" s="121"/>
      <c r="F26" s="122"/>
      <c r="G26" s="124"/>
      <c r="H26" s="124"/>
      <c r="I26" s="123"/>
      <c r="J26" s="124"/>
      <c r="K26" s="124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45"/>
      <c r="AE26" s="145"/>
      <c r="AI26" s="322"/>
    </row>
    <row r="27" spans="1:35" s="130" customFormat="1" ht="19.5" customHeight="1">
      <c r="A27" s="121"/>
      <c r="B27" s="121"/>
      <c r="C27" s="122"/>
      <c r="D27" s="143"/>
      <c r="E27" s="121"/>
      <c r="F27" s="122"/>
      <c r="G27" s="124"/>
      <c r="H27" s="124"/>
      <c r="I27" s="123"/>
      <c r="J27" s="124"/>
      <c r="K27" s="124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X27" s="146"/>
      <c r="Y27" s="123"/>
      <c r="Z27" s="123"/>
      <c r="AA27" s="123"/>
      <c r="AB27" s="123"/>
      <c r="AC27" s="123"/>
      <c r="AD27" s="145"/>
      <c r="AE27" s="123"/>
      <c r="AI27" s="322"/>
    </row>
    <row r="28" spans="1:35" s="17" customFormat="1" ht="16.5">
      <c r="B28" s="18"/>
      <c r="C28" s="18"/>
      <c r="D28" s="147"/>
      <c r="E28" s="148"/>
      <c r="F28" s="18"/>
      <c r="G28" s="18"/>
      <c r="H28" s="248"/>
      <c r="I28" s="18"/>
      <c r="J28" s="18"/>
      <c r="K28" s="18"/>
      <c r="L28" s="18"/>
      <c r="M28" s="18"/>
      <c r="N28" s="18"/>
      <c r="Q28" s="18"/>
      <c r="R28" s="18"/>
      <c r="S28" s="18"/>
      <c r="T28" s="18"/>
      <c r="U28" s="18"/>
      <c r="V28" s="18"/>
      <c r="Z28" s="18"/>
      <c r="AA28" s="18"/>
      <c r="AB28" s="18"/>
      <c r="AC28" s="18"/>
      <c r="AD28" s="18"/>
      <c r="AE28" s="18"/>
      <c r="AI28" s="323"/>
    </row>
    <row r="29" spans="1:35" s="130" customFormat="1" ht="19.5" customHeight="1">
      <c r="A29" s="121"/>
      <c r="B29" s="121"/>
      <c r="C29" s="122"/>
      <c r="D29" s="143"/>
      <c r="E29" s="121"/>
      <c r="F29" s="122"/>
      <c r="G29" s="124"/>
      <c r="H29" s="124"/>
      <c r="I29" s="123"/>
      <c r="J29" s="124"/>
      <c r="K29" s="124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45"/>
      <c r="AE29" s="145"/>
      <c r="AI29" s="322"/>
    </row>
    <row r="30" spans="1:35" s="155" customFormat="1" ht="19.5" customHeight="1">
      <c r="A30" s="149"/>
      <c r="B30" s="149"/>
      <c r="C30" s="150"/>
      <c r="D30" s="151"/>
      <c r="E30" s="149"/>
      <c r="F30" s="150"/>
      <c r="G30" s="152"/>
      <c r="H30" s="152"/>
      <c r="I30" s="153"/>
      <c r="J30" s="152"/>
      <c r="K30" s="152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23"/>
      <c r="X30" s="153"/>
      <c r="Y30" s="153"/>
      <c r="Z30" s="153"/>
      <c r="AA30" s="153"/>
      <c r="AB30" s="153"/>
      <c r="AC30" s="153"/>
      <c r="AD30" s="154"/>
      <c r="AE30" s="154"/>
      <c r="AI30" s="324"/>
    </row>
    <row r="31" spans="1:35" ht="21" customHeight="1">
      <c r="V31" s="164"/>
    </row>
    <row r="32" spans="1:35" s="167" customFormat="1" ht="18">
      <c r="A32" s="166"/>
      <c r="B32" s="166"/>
      <c r="D32" s="168"/>
      <c r="E32" s="166"/>
      <c r="G32" s="169"/>
      <c r="H32" s="170"/>
      <c r="J32" s="170"/>
      <c r="K32" s="170"/>
      <c r="L32" s="171"/>
      <c r="M32" s="171"/>
      <c r="N32" s="171"/>
      <c r="O32" s="171"/>
      <c r="P32" s="171"/>
      <c r="Q32" s="172"/>
      <c r="R32" s="173"/>
      <c r="T32" s="166"/>
      <c r="V32" s="173"/>
      <c r="W32" s="174"/>
      <c r="X32" s="175"/>
      <c r="Y32" s="176"/>
      <c r="Z32" s="166"/>
      <c r="AA32" s="166"/>
      <c r="AB32" s="166"/>
      <c r="AC32" s="166"/>
      <c r="AD32" s="166"/>
      <c r="AE32" s="166"/>
      <c r="AI32" s="326"/>
    </row>
    <row r="33" spans="1:35" s="167" customFormat="1" ht="18">
      <c r="A33" s="166"/>
      <c r="B33" s="166"/>
      <c r="D33" s="168"/>
      <c r="E33" s="166"/>
      <c r="H33" s="170"/>
      <c r="J33" s="169"/>
      <c r="K33" s="169"/>
      <c r="L33" s="171"/>
      <c r="M33" s="172"/>
      <c r="O33" s="171"/>
      <c r="R33" s="173"/>
      <c r="T33" s="166"/>
      <c r="V33" s="173"/>
      <c r="W33" s="174"/>
      <c r="Z33" s="166"/>
      <c r="AA33" s="166"/>
      <c r="AB33" s="166"/>
      <c r="AC33" s="166"/>
      <c r="AD33" s="166"/>
      <c r="AE33" s="166"/>
      <c r="AI33" s="326"/>
    </row>
    <row r="34" spans="1:35" s="167" customFormat="1" ht="18">
      <c r="D34" s="168"/>
      <c r="E34" s="166"/>
      <c r="H34" s="170"/>
      <c r="J34" s="170"/>
      <c r="K34" s="170"/>
      <c r="R34" s="166"/>
      <c r="S34" s="177"/>
      <c r="T34" s="178"/>
      <c r="V34" s="173"/>
      <c r="W34" s="174"/>
      <c r="AD34" s="166"/>
      <c r="AE34" s="166"/>
      <c r="AI34" s="326"/>
    </row>
    <row r="35" spans="1:35" s="167" customFormat="1" ht="18">
      <c r="D35" s="168"/>
      <c r="E35" s="166"/>
      <c r="F35" s="179"/>
      <c r="H35" s="170"/>
      <c r="J35" s="170"/>
      <c r="K35" s="170"/>
      <c r="R35" s="166"/>
      <c r="S35" s="177"/>
      <c r="T35" s="178"/>
      <c r="V35" s="173"/>
      <c r="W35" s="174"/>
      <c r="AD35" s="166"/>
      <c r="AE35" s="166"/>
      <c r="AI35" s="326"/>
    </row>
    <row r="36" spans="1:35" s="167" customFormat="1" ht="18">
      <c r="D36" s="168"/>
      <c r="E36" s="166"/>
      <c r="H36" s="170"/>
      <c r="J36" s="170"/>
      <c r="K36" s="170"/>
      <c r="R36" s="166"/>
      <c r="V36" s="173"/>
      <c r="W36" s="174"/>
      <c r="AD36" s="166"/>
      <c r="AE36" s="166"/>
      <c r="AI36" s="326"/>
    </row>
    <row r="37" spans="1:35" ht="18">
      <c r="A37" s="167"/>
      <c r="B37" s="167"/>
      <c r="C37" s="167"/>
      <c r="F37" s="167"/>
      <c r="J37" s="170"/>
      <c r="K37" s="170"/>
      <c r="L37" s="167"/>
      <c r="M37" s="167"/>
      <c r="N37" s="167"/>
      <c r="O37" s="167"/>
      <c r="R37" s="166"/>
      <c r="AB37" s="167"/>
      <c r="AC37" s="167"/>
      <c r="AD37" s="166"/>
    </row>
    <row r="54" spans="2:2" ht="20.25">
      <c r="B54" s="180"/>
    </row>
  </sheetData>
  <mergeCells count="24">
    <mergeCell ref="Q5:Q6"/>
    <mergeCell ref="A1:AE1"/>
    <mergeCell ref="A2:AE2"/>
    <mergeCell ref="A3:AE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P5"/>
    <mergeCell ref="AD5:AD6"/>
    <mergeCell ref="AE5:AE6"/>
    <mergeCell ref="R5:R6"/>
    <mergeCell ref="S5:U5"/>
    <mergeCell ref="V5:V6"/>
    <mergeCell ref="AB5:AB6"/>
    <mergeCell ref="AC5:AC6"/>
    <mergeCell ref="W5:AA5"/>
  </mergeCells>
  <printOptions horizontalCentered="1"/>
  <pageMargins left="0.19685039370078741" right="0" top="0.35433070866141736" bottom="0.43307086614173229" header="0" footer="0"/>
  <pageSetup paperSize="9" scale="49" fitToHeight="0" orientation="landscape" verticalDpi="1200" r:id="rId1"/>
  <headerFooter>
    <oddFooter xml:space="preserve">&amp;C                                                                                             &amp;R&amp;"-,Bold"&amp;14Page &amp;P of &amp;N 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theme="7" tint="0.39997558519241921"/>
  </sheetPr>
  <dimension ref="A1:AH95"/>
  <sheetViews>
    <sheetView view="pageBreakPreview" zoomScale="145" zoomScaleNormal="100" zoomScaleSheetLayoutView="145" zoomScalePageLayoutView="80" workbookViewId="0">
      <pane xSplit="4" ySplit="6" topLeftCell="E7" activePane="bottomRight" state="frozen"/>
      <selection activeCell="A85" activeCellId="1" sqref="A83:AE83 A85:AE85"/>
      <selection pane="topRight" activeCell="A85" activeCellId="1" sqref="A83:AE83 A85:AE85"/>
      <selection pane="bottomLeft" activeCell="A85" activeCellId="1" sqref="A83:AE83 A85:AE85"/>
      <selection pane="bottomRight" activeCell="O8" sqref="O8"/>
    </sheetView>
  </sheetViews>
  <sheetFormatPr defaultColWidth="9.140625" defaultRowHeight="12.75"/>
  <cols>
    <col min="1" max="1" width="4.140625" style="156" customWidth="1"/>
    <col min="2" max="2" width="13.42578125" style="156" customWidth="1"/>
    <col min="3" max="3" width="21.7109375" style="157" customWidth="1"/>
    <col min="4" max="4" width="16.7109375" style="158" customWidth="1"/>
    <col min="5" max="5" width="11.85546875" style="156" bestFit="1" customWidth="1"/>
    <col min="6" max="6" width="10.5703125" style="157" customWidth="1"/>
    <col min="7" max="7" width="4.28515625" style="159" customWidth="1"/>
    <col min="8" max="8" width="5.5703125" style="160" customWidth="1"/>
    <col min="9" max="9" width="5.7109375" style="157" customWidth="1"/>
    <col min="10" max="10" width="6.140625" style="160" customWidth="1"/>
    <col min="11" max="11" width="8.85546875" style="160" customWidth="1"/>
    <col min="12" max="13" width="10" style="161" customWidth="1"/>
    <col min="14" max="15" width="8.5703125" style="161" customWidth="1"/>
    <col min="16" max="16" width="7.42578125" style="161" customWidth="1"/>
    <col min="17" max="17" width="9.7109375" style="162" customWidth="1"/>
    <col min="18" max="18" width="9.7109375" style="163" customWidth="1"/>
    <col min="19" max="19" width="7.5703125" style="157" customWidth="1"/>
    <col min="20" max="20" width="7.7109375" style="156" customWidth="1"/>
    <col min="21" max="21" width="8" style="157" customWidth="1"/>
    <col min="22" max="22" width="10.5703125" style="163" customWidth="1"/>
    <col min="23" max="23" width="7.7109375" style="165" customWidth="1"/>
    <col min="24" max="24" width="7.7109375" style="157" customWidth="1"/>
    <col min="25" max="25" width="7.5703125" style="157" customWidth="1"/>
    <col min="26" max="27" width="7.140625" style="156" customWidth="1"/>
    <col min="28" max="28" width="7.5703125" style="156" customWidth="1"/>
    <col min="29" max="29" width="10" style="156" customWidth="1"/>
    <col min="30" max="30" width="7.42578125" style="156" customWidth="1"/>
    <col min="31" max="31" width="15" style="156" bestFit="1" customWidth="1"/>
    <col min="32" max="32" width="5.42578125" style="157" customWidth="1"/>
    <col min="33" max="33" width="13.42578125" style="157" bestFit="1" customWidth="1"/>
    <col min="34" max="34" width="9" style="157" bestFit="1" customWidth="1"/>
    <col min="35" max="16384" width="9.140625" style="157"/>
  </cols>
  <sheetData>
    <row r="1" spans="1:34" s="26" customFormat="1" ht="25.5">
      <c r="A1" s="1157" t="s">
        <v>625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  <c r="O1" s="1157"/>
      <c r="P1" s="1157"/>
      <c r="Q1" s="1157"/>
      <c r="R1" s="1157"/>
      <c r="S1" s="1157"/>
      <c r="T1" s="1157"/>
      <c r="U1" s="1157"/>
      <c r="V1" s="1157"/>
      <c r="W1" s="1157"/>
      <c r="X1" s="1157"/>
      <c r="Y1" s="1157"/>
      <c r="Z1" s="1157"/>
      <c r="AA1" s="1157"/>
      <c r="AB1" s="1157"/>
      <c r="AC1" s="1157"/>
      <c r="AD1" s="1157"/>
      <c r="AE1" s="1157"/>
    </row>
    <row r="2" spans="1:34" s="26" customFormat="1" ht="18">
      <c r="A2" s="1158" t="s">
        <v>1</v>
      </c>
      <c r="B2" s="1158"/>
      <c r="C2" s="1158"/>
      <c r="D2" s="1158"/>
      <c r="E2" s="1158"/>
      <c r="F2" s="1158"/>
      <c r="G2" s="1158"/>
      <c r="H2" s="1158"/>
      <c r="I2" s="1158"/>
      <c r="J2" s="1158"/>
      <c r="K2" s="1158"/>
      <c r="L2" s="1158"/>
      <c r="M2" s="1158"/>
      <c r="N2" s="1158"/>
      <c r="O2" s="1158"/>
      <c r="P2" s="1158"/>
      <c r="Q2" s="1158"/>
      <c r="R2" s="1158"/>
      <c r="S2" s="1158"/>
      <c r="T2" s="1158"/>
      <c r="U2" s="1158"/>
      <c r="V2" s="1158"/>
      <c r="W2" s="1158"/>
      <c r="X2" s="1158"/>
      <c r="Y2" s="1158"/>
      <c r="Z2" s="1158"/>
      <c r="AA2" s="1158"/>
      <c r="AB2" s="1158"/>
      <c r="AC2" s="1158"/>
      <c r="AD2" s="1158"/>
      <c r="AE2" s="1158"/>
    </row>
    <row r="3" spans="1:34" s="26" customFormat="1" ht="18">
      <c r="A3" s="1158" t="str">
        <f>Fertilizer!A3</f>
        <v>Salary Statement for the month of  December - 2024</v>
      </c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E3" s="1158"/>
    </row>
    <row r="4" spans="1:34" s="26" customFormat="1" ht="20.25">
      <c r="A4" s="27"/>
      <c r="B4" s="27"/>
      <c r="C4" s="27"/>
      <c r="D4" s="28"/>
      <c r="E4" s="27"/>
      <c r="F4" s="27"/>
      <c r="G4" s="27"/>
      <c r="H4" s="246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9" t="s">
        <v>2</v>
      </c>
    </row>
    <row r="5" spans="1:34" s="30" customFormat="1" ht="21.75" customHeight="1">
      <c r="A5" s="1159" t="s">
        <v>3</v>
      </c>
      <c r="B5" s="1177" t="s">
        <v>30</v>
      </c>
      <c r="C5" s="1178" t="s">
        <v>31</v>
      </c>
      <c r="D5" s="1160" t="s">
        <v>32</v>
      </c>
      <c r="E5" s="1160" t="s">
        <v>503</v>
      </c>
      <c r="F5" s="1160" t="s">
        <v>34</v>
      </c>
      <c r="G5" s="1162" t="s">
        <v>35</v>
      </c>
      <c r="H5" s="1162" t="s">
        <v>36</v>
      </c>
      <c r="I5" s="1162" t="s">
        <v>37</v>
      </c>
      <c r="J5" s="1162" t="s">
        <v>38</v>
      </c>
      <c r="K5" s="1147" t="s">
        <v>7</v>
      </c>
      <c r="L5" s="1163" t="s">
        <v>39</v>
      </c>
      <c r="M5" s="1163"/>
      <c r="N5" s="1163"/>
      <c r="O5" s="1163"/>
      <c r="P5" s="1163"/>
      <c r="Q5" s="1149" t="s">
        <v>7</v>
      </c>
      <c r="R5" s="1149" t="s">
        <v>8</v>
      </c>
      <c r="S5" s="1150" t="s">
        <v>9</v>
      </c>
      <c r="T5" s="1150"/>
      <c r="U5" s="1150"/>
      <c r="V5" s="1151" t="s">
        <v>40</v>
      </c>
      <c r="W5" s="1153" t="s">
        <v>10</v>
      </c>
      <c r="X5" s="1154"/>
      <c r="Y5" s="1154"/>
      <c r="Z5" s="1154"/>
      <c r="AA5" s="1155"/>
      <c r="AB5" s="1151" t="s">
        <v>11</v>
      </c>
      <c r="AC5" s="1152" t="s">
        <v>41</v>
      </c>
      <c r="AD5" s="1146" t="s">
        <v>42</v>
      </c>
      <c r="AE5" s="1164" t="s">
        <v>43</v>
      </c>
    </row>
    <row r="6" spans="1:34" s="272" customFormat="1" ht="86.25" customHeight="1">
      <c r="A6" s="1159"/>
      <c r="B6" s="1177"/>
      <c r="C6" s="1178"/>
      <c r="D6" s="1160"/>
      <c r="E6" s="1160"/>
      <c r="F6" s="1160"/>
      <c r="G6" s="1162"/>
      <c r="H6" s="1162"/>
      <c r="I6" s="1162"/>
      <c r="J6" s="1162"/>
      <c r="K6" s="1148"/>
      <c r="L6" s="1027" t="s">
        <v>13</v>
      </c>
      <c r="M6" s="1027" t="s">
        <v>14</v>
      </c>
      <c r="N6" s="1028" t="s">
        <v>15</v>
      </c>
      <c r="O6" s="1028" t="s">
        <v>16</v>
      </c>
      <c r="P6" s="1028" t="s">
        <v>17</v>
      </c>
      <c r="Q6" s="1149"/>
      <c r="R6" s="1149"/>
      <c r="S6" s="1029" t="s">
        <v>18</v>
      </c>
      <c r="T6" s="1029" t="s">
        <v>19</v>
      </c>
      <c r="U6" s="1029" t="s">
        <v>623</v>
      </c>
      <c r="V6" s="1151"/>
      <c r="W6" s="1029" t="s">
        <v>21</v>
      </c>
      <c r="X6" s="1029" t="s">
        <v>585</v>
      </c>
      <c r="Y6" s="1092" t="s">
        <v>1249</v>
      </c>
      <c r="Z6" s="1029" t="s">
        <v>536</v>
      </c>
      <c r="AA6" s="1029" t="s">
        <v>1428</v>
      </c>
      <c r="AB6" s="1151"/>
      <c r="AC6" s="1152"/>
      <c r="AD6" s="1146"/>
      <c r="AE6" s="1164"/>
    </row>
    <row r="7" spans="1:34" s="130" customFormat="1" ht="30" customHeight="1">
      <c r="A7" s="362" t="s">
        <v>836</v>
      </c>
      <c r="B7" s="121"/>
      <c r="C7" s="122"/>
      <c r="D7" s="143"/>
      <c r="E7" s="121"/>
      <c r="F7" s="363"/>
      <c r="G7" s="123"/>
      <c r="H7" s="360"/>
      <c r="I7" s="123"/>
      <c r="J7" s="124"/>
      <c r="K7" s="361"/>
      <c r="L7" s="361"/>
      <c r="M7" s="361"/>
      <c r="N7" s="361"/>
      <c r="O7" s="361"/>
      <c r="P7" s="361"/>
      <c r="Q7" s="123"/>
      <c r="R7" s="385"/>
      <c r="S7" s="385"/>
      <c r="T7" s="385"/>
      <c r="U7" s="385"/>
      <c r="V7" s="386"/>
      <c r="W7" s="386"/>
      <c r="X7" s="269"/>
      <c r="Y7" s="387"/>
      <c r="Z7" s="269"/>
      <c r="AA7" s="269"/>
      <c r="AB7" s="269"/>
      <c r="AC7" s="388"/>
      <c r="AD7" s="128"/>
      <c r="AE7" s="129"/>
      <c r="AG7" s="61"/>
      <c r="AH7" s="198"/>
    </row>
    <row r="8" spans="1:34" s="61" customFormat="1" ht="30" customHeight="1">
      <c r="A8" s="48">
        <v>1</v>
      </c>
      <c r="B8" s="49" t="s">
        <v>626</v>
      </c>
      <c r="C8" s="50" t="str">
        <f>VLOOKUP(B8,'Salary -Dec-2024 (Full)'!$B$6:$D$286,2,0)</f>
        <v>Md Moshiur Rahman</v>
      </c>
      <c r="D8" s="279" t="str">
        <f>VLOOKUP(B8,'Salary -Dec-2024 (Full)'!$B$6:$D$286,3,0)</f>
        <v>Accounts Officer</v>
      </c>
      <c r="E8" s="279" t="str">
        <f>VLOOKUP(B8,'Salary -Dec-2024 (Full)'!$B$6:$AE$286,4,0)</f>
        <v>A&amp;F</v>
      </c>
      <c r="F8" s="288">
        <f>VLOOKUP(B8,'Salary -Dec-2024 (Full)'!$B$6:$AE$286,5,0)</f>
        <v>45047</v>
      </c>
      <c r="G8" s="52">
        <f>VLOOKUP(B8,'Salary -Dec-2024 (Full)'!$B$6:$AE$286,6,0)</f>
        <v>31</v>
      </c>
      <c r="H8" s="53">
        <f>VLOOKUP(B8,'Salary -Dec-2024 (Full)'!$B$6:$AE$286,7,0)</f>
        <v>0</v>
      </c>
      <c r="I8" s="52">
        <f t="shared" ref="I8:I9" si="0">G8-H8</f>
        <v>31</v>
      </c>
      <c r="J8" s="53">
        <f>Q8/G8</f>
        <v>1174.1935483870968</v>
      </c>
      <c r="K8" s="54">
        <f>VLOOKUP(B8,'Salary -Dec-2024 (Full)'!$B$6:$AE$286,10,0)</f>
        <v>36400</v>
      </c>
      <c r="L8" s="54">
        <f t="shared" ref="L8:L9" si="1">K8*60%</f>
        <v>21840</v>
      </c>
      <c r="M8" s="54">
        <f t="shared" ref="M8:M9" si="2">K8*30%</f>
        <v>10920</v>
      </c>
      <c r="N8" s="54">
        <f t="shared" ref="N8:N9" si="3">K8*6%</f>
        <v>2184</v>
      </c>
      <c r="O8" s="54">
        <f t="shared" ref="O8:O9" si="4">K8*4%</f>
        <v>1456</v>
      </c>
      <c r="P8" s="55"/>
      <c r="Q8" s="56">
        <f t="shared" ref="Q8" si="5">SUM(L8:P8)</f>
        <v>36400</v>
      </c>
      <c r="R8" s="188">
        <f>VLOOKUP(B8,'Salary -Dec-2024 (Full)'!$B$6:$AE$383,17,0)</f>
        <v>36400</v>
      </c>
      <c r="S8" s="192">
        <f>VLOOKUP(B8,'Salary -Dec-2024 (Full)'!$B$6:$AE$383,18,0)</f>
        <v>0</v>
      </c>
      <c r="T8" s="192">
        <f>VLOOKUP(B8,'Salary -Dec-2024 (Full)'!$B$6:$AE$383,19,0)</f>
        <v>0</v>
      </c>
      <c r="U8" s="337">
        <f>VLOOKUP(B8,'Salary -Dec-2024 (Full)'!$B$6:$AE$383,20,0)</f>
        <v>0</v>
      </c>
      <c r="V8" s="191">
        <f t="shared" ref="V8" si="6">SUM(R8:U8)</f>
        <v>36400</v>
      </c>
      <c r="W8" s="192">
        <f>VLOOKUP(B8,'Salary -Dec-2024 (Full)'!$B$6:$AE$383,22,0)</f>
        <v>0</v>
      </c>
      <c r="X8" s="192">
        <f>VLOOKUP(B8,'Salary -Dec-2024 (Full)'!$B$6:$AE$383,23,0)</f>
        <v>0</v>
      </c>
      <c r="Y8" s="337">
        <f>VLOOKUP(B8,'Salary -Dec-2024 (Full)'!$B$6:$AE$383,24,0)</f>
        <v>1092</v>
      </c>
      <c r="Z8" s="192">
        <f>VLOOKUP(B8,'Salary -Dec-2024 (Full)'!$B$6:$AE$383,25,0)</f>
        <v>0</v>
      </c>
      <c r="AA8" s="58">
        <f>VLOOKUP(B8,'Salary -Dec-2024 (Full)'!$B$6:$AE$383,26,0)</f>
        <v>0</v>
      </c>
      <c r="AB8" s="394">
        <f>SUM(W8:AA8)</f>
        <v>1092</v>
      </c>
      <c r="AC8" s="57">
        <f>ROUND(V8-AB8,0)</f>
        <v>35308</v>
      </c>
      <c r="AD8" s="60" t="str">
        <f>VLOOKUP(B8,'Salary -Dec-2024 (Full)'!$B$6:$AE$286,29,0)</f>
        <v>Bank</v>
      </c>
      <c r="AE8" s="51" t="str">
        <f>VLOOKUP(B8,'Salary -Dec-2024 (Full)'!$B$6:$AE$286,30,0)</f>
        <v>103.103.1353454</v>
      </c>
      <c r="AH8" s="198"/>
    </row>
    <row r="9" spans="1:34" s="61" customFormat="1" ht="30" customHeight="1">
      <c r="A9" s="75">
        <v>2</v>
      </c>
      <c r="B9" s="76" t="s">
        <v>55</v>
      </c>
      <c r="C9" s="77" t="str">
        <f>VLOOKUP(B9,'Salary -Dec-2024 (Full)'!$B$6:$D$286,2,0)</f>
        <v>Md. Rabiul Islam</v>
      </c>
      <c r="D9" s="280" t="str">
        <f>VLOOKUP(B9,'Salary -Dec-2024 (Full)'!$B$6:$D$286,3,0)</f>
        <v>Executive Accounts</v>
      </c>
      <c r="E9" s="280" t="str">
        <f>VLOOKUP(B9,'Salary -Dec-2024 (Full)'!$B$6:$AE$286,4,0)</f>
        <v>A&amp;F (Factory)</v>
      </c>
      <c r="F9" s="364">
        <f>VLOOKUP(B9,'Salary -Dec-2024 (Full)'!$B$6:$AE$286,5,0)</f>
        <v>44495</v>
      </c>
      <c r="G9" s="79">
        <f>VLOOKUP(B9,'Salary -Dec-2024 (Full)'!$B$6:$AE$286,6,0)</f>
        <v>31</v>
      </c>
      <c r="H9" s="80">
        <f>VLOOKUP(B9,'Salary -Dec-2024 (Full)'!$B$6:$AE$286,7,0)</f>
        <v>0</v>
      </c>
      <c r="I9" s="79">
        <f t="shared" si="0"/>
        <v>31</v>
      </c>
      <c r="J9" s="80">
        <f>Q9/G9</f>
        <v>1061.2903225806451</v>
      </c>
      <c r="K9" s="81">
        <f>VLOOKUP(B9,'Salary -Dec-2024 (Full)'!$B$6:$AE$286,10,0)</f>
        <v>32900</v>
      </c>
      <c r="L9" s="81">
        <f t="shared" si="1"/>
        <v>19740</v>
      </c>
      <c r="M9" s="81">
        <f t="shared" si="2"/>
        <v>9870</v>
      </c>
      <c r="N9" s="81">
        <f t="shared" si="3"/>
        <v>1974</v>
      </c>
      <c r="O9" s="81">
        <f t="shared" si="4"/>
        <v>1316</v>
      </c>
      <c r="P9" s="82">
        <v>0</v>
      </c>
      <c r="Q9" s="83">
        <f>SUM(L9:P9)</f>
        <v>32900</v>
      </c>
      <c r="R9" s="70">
        <f>VLOOKUP(B9,'Salary -Dec-2024 (Full)'!$B$6:$AE$383,17,0)</f>
        <v>32900</v>
      </c>
      <c r="S9" s="192">
        <f>VLOOKUP(B9,'Salary -Dec-2024 (Full)'!$B$6:$AE$383,18,0)</f>
        <v>0</v>
      </c>
      <c r="T9" s="192">
        <f>VLOOKUP(B9,'Salary -Dec-2024 (Full)'!$B$6:$AE$383,19,0)</f>
        <v>0</v>
      </c>
      <c r="U9" s="337">
        <f>VLOOKUP(B9,'Salary -Dec-2024 (Full)'!$B$6:$AE$383,20,0)</f>
        <v>0</v>
      </c>
      <c r="V9" s="84">
        <f>SUM(R9:U9)</f>
        <v>32900</v>
      </c>
      <c r="W9" s="192">
        <f>VLOOKUP(B9,'Salary -Dec-2024 (Full)'!$B$6:$AE$383,22,0)</f>
        <v>0</v>
      </c>
      <c r="X9" s="192">
        <f>VLOOKUP(B9,'Salary -Dec-2024 (Full)'!$B$6:$AE$383,23,0)</f>
        <v>0</v>
      </c>
      <c r="Y9" s="337">
        <f>VLOOKUP(B9,'Salary -Dec-2024 (Full)'!$B$6:$AE$383,24,0)</f>
        <v>987</v>
      </c>
      <c r="Z9" s="192">
        <f>VLOOKUP(B9,'Salary -Dec-2024 (Full)'!$B$6:$AE$383,25,0)</f>
        <v>0</v>
      </c>
      <c r="AA9" s="192">
        <f>VLOOKUP(B9,'Salary -Dec-2024 (Full)'!$B$6:$AE$383,26,0)</f>
        <v>0</v>
      </c>
      <c r="AB9" s="379">
        <f>SUM(W9:AA9)</f>
        <v>987</v>
      </c>
      <c r="AC9" s="71">
        <f>ROUND(V9-AB9,0)</f>
        <v>31913</v>
      </c>
      <c r="AD9" s="74" t="str">
        <f>VLOOKUP(B9,'Salary -Dec-2024 (Full)'!$B$6:$AE$286,29,0)</f>
        <v>Bank</v>
      </c>
      <c r="AE9" s="65" t="str">
        <f>VLOOKUP(B9,'Salary -Dec-2024 (Full)'!$B$6:$AE$286,30,0)</f>
        <v>103.103.1252596</v>
      </c>
      <c r="AH9" s="198"/>
    </row>
    <row r="10" spans="1:34" s="47" customFormat="1" ht="30" customHeight="1">
      <c r="A10" s="1031"/>
      <c r="B10" s="1032"/>
      <c r="C10" s="1033"/>
      <c r="D10" s="1034"/>
      <c r="E10" s="1040"/>
      <c r="F10" s="1036"/>
      <c r="G10" s="1036"/>
      <c r="H10" s="1036"/>
      <c r="I10" s="1036"/>
      <c r="J10" s="1036"/>
      <c r="K10" s="1037">
        <f>SUM(K8:K9)</f>
        <v>69300</v>
      </c>
      <c r="L10" s="1037">
        <f t="shared" ref="L10:AC10" si="7">SUM(L8:L9)</f>
        <v>41580</v>
      </c>
      <c r="M10" s="1037">
        <f t="shared" si="7"/>
        <v>20790</v>
      </c>
      <c r="N10" s="1037">
        <f t="shared" si="7"/>
        <v>4158</v>
      </c>
      <c r="O10" s="1037">
        <f t="shared" si="7"/>
        <v>2772</v>
      </c>
      <c r="P10" s="1037">
        <f t="shared" si="7"/>
        <v>0</v>
      </c>
      <c r="Q10" s="1037">
        <f t="shared" si="7"/>
        <v>69300</v>
      </c>
      <c r="R10" s="1037">
        <f t="shared" si="7"/>
        <v>69300</v>
      </c>
      <c r="S10" s="1037">
        <f t="shared" si="7"/>
        <v>0</v>
      </c>
      <c r="T10" s="1037">
        <f t="shared" si="7"/>
        <v>0</v>
      </c>
      <c r="U10" s="1037">
        <f t="shared" si="7"/>
        <v>0</v>
      </c>
      <c r="V10" s="1037">
        <f t="shared" si="7"/>
        <v>69300</v>
      </c>
      <c r="W10" s="1037">
        <f t="shared" si="7"/>
        <v>0</v>
      </c>
      <c r="X10" s="1037">
        <f t="shared" si="7"/>
        <v>0</v>
      </c>
      <c r="Y10" s="1037">
        <f t="shared" si="7"/>
        <v>2079</v>
      </c>
      <c r="Z10" s="1037">
        <f t="shared" si="7"/>
        <v>0</v>
      </c>
      <c r="AA10" s="1037">
        <f t="shared" si="7"/>
        <v>0</v>
      </c>
      <c r="AB10" s="1037">
        <f t="shared" si="7"/>
        <v>2079</v>
      </c>
      <c r="AC10" s="1037">
        <f t="shared" si="7"/>
        <v>67221</v>
      </c>
      <c r="AD10" s="1037"/>
      <c r="AE10" s="1039"/>
      <c r="AG10" s="61"/>
      <c r="AH10" s="198"/>
    </row>
    <row r="11" spans="1:34" s="130" customFormat="1" ht="30" customHeight="1">
      <c r="A11" s="89" t="s">
        <v>602</v>
      </c>
      <c r="B11" s="121"/>
      <c r="C11" s="122"/>
      <c r="D11" s="143"/>
      <c r="E11" s="121"/>
      <c r="F11" s="363"/>
      <c r="G11" s="123"/>
      <c r="H11" s="360"/>
      <c r="I11" s="123"/>
      <c r="J11" s="124"/>
      <c r="K11" s="361"/>
      <c r="L11" s="361"/>
      <c r="M11" s="361"/>
      <c r="N11" s="361"/>
      <c r="O11" s="361"/>
      <c r="P11" s="385"/>
      <c r="Q11" s="361"/>
      <c r="R11" s="385"/>
      <c r="S11" s="361"/>
      <c r="T11" s="361"/>
      <c r="U11" s="361"/>
      <c r="V11" s="469"/>
      <c r="W11" s="469"/>
      <c r="X11" s="470"/>
      <c r="Y11" s="471"/>
      <c r="Z11" s="470"/>
      <c r="AA11" s="470"/>
      <c r="AB11" s="470"/>
      <c r="AC11" s="127"/>
      <c r="AD11" s="128"/>
      <c r="AE11" s="129"/>
      <c r="AG11" s="61"/>
      <c r="AH11" s="198"/>
    </row>
    <row r="12" spans="1:34" s="61" customFormat="1" ht="30" customHeight="1">
      <c r="A12" s="48">
        <v>1</v>
      </c>
      <c r="B12" s="49" t="s">
        <v>520</v>
      </c>
      <c r="C12" s="50" t="str">
        <f>VLOOKUP(B12,'Salary -Dec-2024 (Full)'!$B$6:$D$286,2,0)</f>
        <v>Md. Sorowar Hossain</v>
      </c>
      <c r="D12" s="279" t="str">
        <f>VLOOKUP(B12,'Salary -Dec-2024 (Full)'!$B$6:$D$286,3,0)</f>
        <v>Officer (Production)</v>
      </c>
      <c r="E12" s="279" t="str">
        <f>VLOOKUP(B12,'Salary -Dec-2024 (Full)'!$B$6:$AE$286,4,0)</f>
        <v>Seeds</v>
      </c>
      <c r="F12" s="288">
        <f>VLOOKUP(B12,'Salary -Dec-2024 (Full)'!$B$6:$AE$286,5,0)</f>
        <v>44947</v>
      </c>
      <c r="G12" s="52">
        <f>VLOOKUP(B12,'Salary -Dec-2024 (Full)'!$B$6:$AE$286,6,0)</f>
        <v>31</v>
      </c>
      <c r="H12" s="53">
        <f>VLOOKUP(B12,'Salary -Dec-2024 (Full)'!$B$6:$AE$286,7,0)</f>
        <v>0</v>
      </c>
      <c r="I12" s="52">
        <f t="shared" ref="I12" si="8">G12-H12</f>
        <v>31</v>
      </c>
      <c r="J12" s="53">
        <f>Q12/G12</f>
        <v>1519.3548387096773</v>
      </c>
      <c r="K12" s="53">
        <f>VLOOKUP(B12,'Salary -Dec-2024 (Full)'!$B$6:$AE$286,10,0)</f>
        <v>47100</v>
      </c>
      <c r="L12" s="54">
        <f t="shared" ref="L12" si="9">K12*60%</f>
        <v>28260</v>
      </c>
      <c r="M12" s="54">
        <f t="shared" ref="M12" si="10">K12*30%</f>
        <v>14130</v>
      </c>
      <c r="N12" s="54">
        <f t="shared" ref="N12" si="11">K12*6%</f>
        <v>2826</v>
      </c>
      <c r="O12" s="54">
        <f t="shared" ref="O12" si="12">K12*4%</f>
        <v>1884</v>
      </c>
      <c r="P12" s="187">
        <f>'Salary -Dec-2024 (Full)'!P248</f>
        <v>0</v>
      </c>
      <c r="Q12" s="56">
        <f t="shared" ref="Q12" si="13">SUM(L12:P12)</f>
        <v>47100</v>
      </c>
      <c r="R12" s="188">
        <f>VLOOKUP(B12,'Salary -Dec-2024 (Full)'!$B$6:$AE$383,17,0)</f>
        <v>47100</v>
      </c>
      <c r="S12" s="58">
        <f>VLOOKUP(B12,'Salary -Dec-2024 (Full)'!$B$6:$AE$383,18,0)</f>
        <v>0</v>
      </c>
      <c r="T12" s="58">
        <f>VLOOKUP(B12,'Salary -Dec-2024 (Full)'!$B$6:$AE$383,19,0)</f>
        <v>0</v>
      </c>
      <c r="U12" s="393">
        <f>VLOOKUP(B12,'Salary -Dec-2024 (Full)'!$B$6:$AE$383,20,0)</f>
        <v>0</v>
      </c>
      <c r="V12" s="57">
        <f>SUM(R12:U12)</f>
        <v>47100</v>
      </c>
      <c r="W12" s="58">
        <f>VLOOKUP(B12,'Salary -Dec-2024 (Full)'!$B$6:$AE$383,22,0)</f>
        <v>417</v>
      </c>
      <c r="X12" s="58">
        <f>VLOOKUP(B12,'Salary -Dec-2024 (Full)'!$B$6:$AE$383,23,0)</f>
        <v>0</v>
      </c>
      <c r="Y12" s="393">
        <f>VLOOKUP(B12,'Salary -Dec-2024 (Full)'!$B$6:$AE$383,24,0)</f>
        <v>1413</v>
      </c>
      <c r="Z12" s="58">
        <f>VLOOKUP(B12,'Salary -Dec-2024 (Full)'!$B$6:$AE$383,25,0)</f>
        <v>842</v>
      </c>
      <c r="AA12" s="58">
        <f>VLOOKUP(B12,'Salary -Dec-2024 (Full)'!$B$6:$AE$383,26,0)</f>
        <v>0</v>
      </c>
      <c r="AB12" s="394">
        <f>SUM(W12:AA12)</f>
        <v>2672</v>
      </c>
      <c r="AC12" s="57">
        <f>ROUND(V12-AB12,0)</f>
        <v>44428</v>
      </c>
      <c r="AD12" s="60" t="str">
        <f>VLOOKUP(B12,'Salary -Dec-2024 (Full)'!$B$6:$AE$286,29,0)</f>
        <v>Bank</v>
      </c>
      <c r="AE12" s="51" t="str">
        <f>VLOOKUP(B12,'Salary -Dec-2024 (Full)'!$B$6:$AE$286,30,0)</f>
        <v>125.103.0080896</v>
      </c>
      <c r="AH12" s="198"/>
    </row>
    <row r="13" spans="1:34" s="61" customFormat="1" ht="30" customHeight="1">
      <c r="A13" s="62">
        <v>2</v>
      </c>
      <c r="B13" s="63" t="s">
        <v>514</v>
      </c>
      <c r="C13" s="64" t="str">
        <f>VLOOKUP(B13,'Salary -Dec-2024 (Full)'!$B$6:$D$286,2,0)</f>
        <v>Md. Abdur Rouf</v>
      </c>
      <c r="D13" s="115" t="str">
        <f>VLOOKUP(B13,'Salary -Dec-2024 (Full)'!$B$6:$D$286,3,0)</f>
        <v>Sr. Officer (Production)</v>
      </c>
      <c r="E13" s="115" t="str">
        <f>VLOOKUP(B13,'Salary -Dec-2024 (Full)'!$B$6:$AE$286,4,0)</f>
        <v>Seeds (Factory)</v>
      </c>
      <c r="F13" s="266">
        <f>VLOOKUP(B13,'Salary -Dec-2024 (Full)'!$B$6:$AE$286,5,0)</f>
        <v>44927</v>
      </c>
      <c r="G13" s="66">
        <f>VLOOKUP(B13,'Salary -Dec-2024 (Full)'!$B$6:$AE$286,6,0)</f>
        <v>31</v>
      </c>
      <c r="H13" s="67">
        <f>VLOOKUP(B13,'Salary -Dec-2024 (Full)'!$B$6:$AE$286,7,0)</f>
        <v>0</v>
      </c>
      <c r="I13" s="66">
        <f t="shared" ref="I13" si="14">G13-H13</f>
        <v>31</v>
      </c>
      <c r="J13" s="67">
        <f>Q13/G13</f>
        <v>1638.7096774193549</v>
      </c>
      <c r="K13" s="67">
        <f>VLOOKUP(B13,'Salary -Dec-2024 (Full)'!$B$6:$AE$286,10,0)</f>
        <v>50800</v>
      </c>
      <c r="L13" s="68">
        <f t="shared" ref="L13" si="15">K13*60%</f>
        <v>30480</v>
      </c>
      <c r="M13" s="68">
        <f t="shared" ref="M13" si="16">K13*30%</f>
        <v>15240</v>
      </c>
      <c r="N13" s="68">
        <f t="shared" ref="N13" si="17">K13*6%</f>
        <v>3048</v>
      </c>
      <c r="O13" s="68">
        <f t="shared" ref="O13" si="18">K13*4%</f>
        <v>2032</v>
      </c>
      <c r="P13" s="69">
        <f>'Salary -Dec-2024 (Full)'!P249</f>
        <v>0</v>
      </c>
      <c r="Q13" s="70">
        <f t="shared" ref="Q13" si="19">SUM(L13:P13)</f>
        <v>50800</v>
      </c>
      <c r="R13" s="70">
        <f>VLOOKUP(B13,'Salary -Dec-2024 (Full)'!$B$6:$AE$383,17,0)</f>
        <v>50800</v>
      </c>
      <c r="S13" s="192">
        <f>VLOOKUP(B13,'Salary -Dec-2024 (Full)'!$B$6:$AE$383,18,0)</f>
        <v>0</v>
      </c>
      <c r="T13" s="192">
        <f>VLOOKUP(B13,'Salary -Dec-2024 (Full)'!$B$6:$AE$383,19,0)</f>
        <v>0</v>
      </c>
      <c r="U13" s="337">
        <f>VLOOKUP(B13,'Salary -Dec-2024 (Full)'!$B$6:$AE$383,20,0)</f>
        <v>0</v>
      </c>
      <c r="V13" s="71">
        <f>SUM(R13:U13)</f>
        <v>50800</v>
      </c>
      <c r="W13" s="192">
        <f>VLOOKUP(B13,'Salary -Dec-2024 (Full)'!$B$6:$AE$383,22,0)</f>
        <v>417</v>
      </c>
      <c r="X13" s="192">
        <f>VLOOKUP(B13,'Salary -Dec-2024 (Full)'!$B$6:$AE$383,23,0)</f>
        <v>0</v>
      </c>
      <c r="Y13" s="337">
        <f>VLOOKUP(B13,'Salary -Dec-2024 (Full)'!$B$6:$AE$383,24,0)</f>
        <v>1524</v>
      </c>
      <c r="Z13" s="192">
        <f>VLOOKUP(B13,'Salary -Dec-2024 (Full)'!$B$6:$AE$383,25,0)</f>
        <v>1667</v>
      </c>
      <c r="AA13" s="192">
        <f>VLOOKUP(B13,'Salary -Dec-2024 (Full)'!$B$6:$AE$383,26,0)</f>
        <v>0</v>
      </c>
      <c r="AB13" s="379">
        <f>SUM(W13:AA13)</f>
        <v>3608</v>
      </c>
      <c r="AC13" s="71">
        <f>ROUND(V13-AB13,0)</f>
        <v>47192</v>
      </c>
      <c r="AD13" s="74" t="str">
        <f>VLOOKUP(B13,'Salary -Dec-2024 (Full)'!$B$6:$AE$286,29,0)</f>
        <v>Bank</v>
      </c>
      <c r="AE13" s="65" t="str">
        <f>VLOOKUP(B13,'Salary -Dec-2024 (Full)'!$B$6:$AE$286,30,0)</f>
        <v>125.103.0080924</v>
      </c>
      <c r="AH13" s="198"/>
    </row>
    <row r="14" spans="1:34" s="61" customFormat="1" ht="30" customHeight="1">
      <c r="A14" s="62">
        <v>3</v>
      </c>
      <c r="B14" s="63" t="s">
        <v>849</v>
      </c>
      <c r="C14" s="64" t="str">
        <f>VLOOKUP(B14,'Salary -Dec-2024 (Full)'!$B$6:$D$286,2,0)</f>
        <v>Md Sultan Mia</v>
      </c>
      <c r="D14" s="115" t="str">
        <f>VLOOKUP(B14,'Salary -Dec-2024 (Full)'!$B$6:$D$286,3,0)</f>
        <v>Office Assistant</v>
      </c>
      <c r="E14" s="115" t="str">
        <f>VLOOKUP(B14,'Salary -Dec-2024 (Full)'!$B$6:$AE$286,4,0)</f>
        <v>Seed</v>
      </c>
      <c r="F14" s="266">
        <f>VLOOKUP(B14,'Salary -Dec-2024 (Full)'!$B$6:$AE$286,5,0)</f>
        <v>45139</v>
      </c>
      <c r="G14" s="66">
        <f>VLOOKUP(B14,'Salary -Dec-2024 (Full)'!$B$6:$AE$286,6,0)</f>
        <v>31</v>
      </c>
      <c r="H14" s="67">
        <f>VLOOKUP(B14,'Salary -Dec-2024 (Full)'!$B$6:$AE$286,7,0)</f>
        <v>0</v>
      </c>
      <c r="I14" s="66">
        <f t="shared" ref="I14:I15" si="20">G14-H14</f>
        <v>31</v>
      </c>
      <c r="J14" s="67">
        <f t="shared" ref="J14:J15" si="21">Q14/G14</f>
        <v>506.45161290322579</v>
      </c>
      <c r="K14" s="67">
        <f>VLOOKUP(B14,'Salary -Dec-2024 (Full)'!$B$6:$AE$286,10,0)</f>
        <v>15700</v>
      </c>
      <c r="L14" s="68">
        <f t="shared" ref="L14:L15" si="22">K14*60%</f>
        <v>9420</v>
      </c>
      <c r="M14" s="68">
        <f t="shared" ref="M14:M15" si="23">K14*30%</f>
        <v>4710</v>
      </c>
      <c r="N14" s="68">
        <f t="shared" ref="N14:N15" si="24">K14*6%</f>
        <v>942</v>
      </c>
      <c r="O14" s="68">
        <f t="shared" ref="O14:O15" si="25">K14*4%</f>
        <v>628</v>
      </c>
      <c r="P14" s="69">
        <f>'Salary -Dec-2024 (Full)'!P250</f>
        <v>0</v>
      </c>
      <c r="Q14" s="70">
        <f t="shared" ref="Q14:Q15" si="26">SUM(L14:P14)</f>
        <v>15700</v>
      </c>
      <c r="R14" s="70">
        <f>VLOOKUP(B14,'Salary -Dec-2024 (Full)'!$B$6:$AE$383,17,0)</f>
        <v>15700</v>
      </c>
      <c r="S14" s="192">
        <f>VLOOKUP(B14,'Salary -Dec-2024 (Full)'!$B$6:$AE$383,18,0)</f>
        <v>0</v>
      </c>
      <c r="T14" s="192">
        <f>VLOOKUP(B14,'Salary -Dec-2024 (Full)'!$B$6:$AE$383,19,0)</f>
        <v>0</v>
      </c>
      <c r="U14" s="337">
        <f>VLOOKUP(B14,'Salary -Dec-2024 (Full)'!$B$6:$AE$383,20,0)</f>
        <v>0</v>
      </c>
      <c r="V14" s="71">
        <f t="shared" ref="V14:V15" si="27">SUM(R14:U14)</f>
        <v>15700</v>
      </c>
      <c r="W14" s="192">
        <f>VLOOKUP(B14,'Salary -Dec-2024 (Full)'!$B$6:$AE$383,22,0)</f>
        <v>0</v>
      </c>
      <c r="X14" s="192">
        <f>VLOOKUP(B14,'Salary -Dec-2024 (Full)'!$B$6:$AE$383,23,0)</f>
        <v>0</v>
      </c>
      <c r="Y14" s="337">
        <f>VLOOKUP(B14,'Salary -Dec-2024 (Full)'!$B$6:$AE$383,24,0)</f>
        <v>471</v>
      </c>
      <c r="Z14" s="192">
        <f>VLOOKUP(B14,'Salary -Dec-2024 (Full)'!$B$6:$AE$383,25,0)</f>
        <v>0</v>
      </c>
      <c r="AA14" s="192">
        <f>VLOOKUP(B14,'Salary -Dec-2024 (Full)'!$B$6:$AE$383,26,0)</f>
        <v>0</v>
      </c>
      <c r="AB14" s="379">
        <f t="shared" ref="AB14:AB16" si="28">SUM(W14:AA14)</f>
        <v>471</v>
      </c>
      <c r="AC14" s="71">
        <f t="shared" ref="AC14:AC16" si="29">ROUND(V14-AB14,0)</f>
        <v>15229</v>
      </c>
      <c r="AD14" s="74" t="str">
        <f>VLOOKUP(B14,'Salary -Dec-2024 (Full)'!$B$6:$AE$286,29,0)</f>
        <v>Bank</v>
      </c>
      <c r="AE14" s="65" t="str">
        <f>VLOOKUP(B14,'Salary -Dec-2024 (Full)'!$B$6:$AE$286,30,0)</f>
        <v>175.105.0028351</v>
      </c>
      <c r="AH14" s="198"/>
    </row>
    <row r="15" spans="1:34" s="61" customFormat="1" ht="30" customHeight="1">
      <c r="A15" s="62">
        <v>4</v>
      </c>
      <c r="B15" s="63" t="s">
        <v>1281</v>
      </c>
      <c r="C15" s="64" t="str">
        <f>VLOOKUP(B15,'Salary -Dec-2024 (Full)'!$B$6:$D$286,2,0)</f>
        <v>Md Obaidul Haque</v>
      </c>
      <c r="D15" s="115" t="str">
        <f>VLOOKUP(B15,'Salary -Dec-2024 (Full)'!$B$6:$D$286,3,0)</f>
        <v>Night Gurd</v>
      </c>
      <c r="E15" s="115" t="str">
        <f>VLOOKUP(B15,'Salary -Dec-2024 (Full)'!$B$6:$AE$286,4,0)</f>
        <v>Seed</v>
      </c>
      <c r="F15" s="266">
        <f>VLOOKUP(B15,'Salary -Dec-2024 (Full)'!$B$6:$AE$286,5,0)</f>
        <v>44917</v>
      </c>
      <c r="G15" s="66">
        <f>VLOOKUP(B15,'Salary -Dec-2024 (Full)'!$B$6:$AE$286,6,0)</f>
        <v>31</v>
      </c>
      <c r="H15" s="67">
        <f>VLOOKUP(B15,'Salary -Dec-2024 (Full)'!$B$6:$AE$286,7,0)</f>
        <v>0</v>
      </c>
      <c r="I15" s="66">
        <f t="shared" si="20"/>
        <v>31</v>
      </c>
      <c r="J15" s="67">
        <f t="shared" si="21"/>
        <v>290.32258064516128</v>
      </c>
      <c r="K15" s="67">
        <f>VLOOKUP(B15,'Salary -Dec-2024 (Full)'!$B$6:$AE$286,10,0)</f>
        <v>9000</v>
      </c>
      <c r="L15" s="68">
        <f t="shared" si="22"/>
        <v>5400</v>
      </c>
      <c r="M15" s="68">
        <f t="shared" si="23"/>
        <v>2700</v>
      </c>
      <c r="N15" s="68">
        <f t="shared" si="24"/>
        <v>540</v>
      </c>
      <c r="O15" s="68">
        <f t="shared" si="25"/>
        <v>360</v>
      </c>
      <c r="P15" s="69">
        <f>'Salary -Dec-2024 (Full)'!P251</f>
        <v>0</v>
      </c>
      <c r="Q15" s="70">
        <f t="shared" si="26"/>
        <v>9000</v>
      </c>
      <c r="R15" s="70">
        <f>VLOOKUP(B15,'Salary -Dec-2024 (Full)'!$B$6:$AE$383,17,0)</f>
        <v>9000</v>
      </c>
      <c r="S15" s="192">
        <f>VLOOKUP(B15,'Salary -Dec-2024 (Full)'!$B$6:$AE$383,18,0)</f>
        <v>0</v>
      </c>
      <c r="T15" s="192">
        <f>VLOOKUP(B15,'Salary -Dec-2024 (Full)'!$B$6:$AE$383,19,0)</f>
        <v>0</v>
      </c>
      <c r="U15" s="337">
        <f>VLOOKUP(B15,'Salary -Dec-2024 (Full)'!$B$6:$AE$383,20,0)</f>
        <v>0</v>
      </c>
      <c r="V15" s="71">
        <f t="shared" si="27"/>
        <v>9000</v>
      </c>
      <c r="W15" s="192">
        <f>VLOOKUP(B15,'Salary -Dec-2024 (Full)'!$B$6:$AE$383,22,0)</f>
        <v>0</v>
      </c>
      <c r="X15" s="192">
        <f>VLOOKUP(B15,'Salary -Dec-2024 (Full)'!$B$6:$AE$383,23,0)</f>
        <v>0</v>
      </c>
      <c r="Y15" s="337">
        <f>VLOOKUP(B15,'Salary -Dec-2024 (Full)'!$B$6:$AE$383,24,0)</f>
        <v>270</v>
      </c>
      <c r="Z15" s="192">
        <f>VLOOKUP(B15,'Salary -Dec-2024 (Full)'!$B$6:$AE$383,25,0)</f>
        <v>0</v>
      </c>
      <c r="AA15" s="192">
        <f>VLOOKUP(B15,'Salary -Dec-2024 (Full)'!$B$6:$AE$383,26,0)</f>
        <v>0</v>
      </c>
      <c r="AB15" s="379">
        <f t="shared" si="28"/>
        <v>270</v>
      </c>
      <c r="AC15" s="71">
        <f t="shared" si="29"/>
        <v>8730</v>
      </c>
      <c r="AD15" s="74" t="str">
        <f>VLOOKUP(B15,'Salary -Dec-2024 (Full)'!$B$6:$AE$286,29,0)</f>
        <v>Bank</v>
      </c>
      <c r="AE15" s="65" t="str">
        <f>VLOOKUP(B15,'Salary -Dec-2024 (Full)'!$B$6:$AE$286,30,0)</f>
        <v>175.158.0061833</v>
      </c>
      <c r="AH15" s="198"/>
    </row>
    <row r="16" spans="1:34" s="61" customFormat="1" ht="30" customHeight="1">
      <c r="A16" s="75">
        <v>5</v>
      </c>
      <c r="B16" s="76" t="s">
        <v>1380</v>
      </c>
      <c r="C16" s="77" t="str">
        <f>VLOOKUP(B16,'Salary -Dec-2024 (Full)'!$B$6:$D$286,2,0)</f>
        <v>Tofail Ahamed</v>
      </c>
      <c r="D16" s="280" t="str">
        <f>VLOOKUP(B16,'Salary -Dec-2024 (Full)'!$B$6:$D$286,3,0)</f>
        <v>Sr. Manager</v>
      </c>
      <c r="E16" s="280" t="str">
        <f>VLOOKUP(B16,'Salary -Dec-2024 (Full)'!$B$6:$AE$286,4,0)</f>
        <v>Seed</v>
      </c>
      <c r="F16" s="364">
        <f>VLOOKUP(B16,'Salary -Dec-2024 (Full)'!$B$6:$AE$286,5,0)</f>
        <v>45444</v>
      </c>
      <c r="G16" s="79">
        <f>VLOOKUP(B16,'Salary -Dec-2024 (Full)'!$B$6:$AE$286,6,0)</f>
        <v>31</v>
      </c>
      <c r="H16" s="80">
        <f>VLOOKUP(B16,'Salary -Dec-2024 (Full)'!$B$6:$AE$286,7,0)</f>
        <v>0</v>
      </c>
      <c r="I16" s="79">
        <f t="shared" ref="I16" si="30">G16-H16</f>
        <v>31</v>
      </c>
      <c r="J16" s="80">
        <f t="shared" ref="J16" si="31">Q16/G16</f>
        <v>3387.0967741935483</v>
      </c>
      <c r="K16" s="80">
        <f>VLOOKUP(B16,'Salary -Dec-2024 (Full)'!$B$6:$AE$286,10,0)</f>
        <v>105000</v>
      </c>
      <c r="L16" s="81">
        <f t="shared" ref="L16" si="32">K16*60%</f>
        <v>63000</v>
      </c>
      <c r="M16" s="81">
        <f t="shared" ref="M16" si="33">K16*30%</f>
        <v>31500</v>
      </c>
      <c r="N16" s="81">
        <f t="shared" ref="N16" si="34">K16*6%</f>
        <v>6300</v>
      </c>
      <c r="O16" s="81">
        <f t="shared" ref="O16" si="35">K16*4%</f>
        <v>4200</v>
      </c>
      <c r="P16" s="69">
        <f>'Salary -Dec-2024 (Full)'!P252</f>
        <v>0</v>
      </c>
      <c r="Q16" s="83">
        <f t="shared" ref="Q16" si="36">SUM(L16:P16)</f>
        <v>105000</v>
      </c>
      <c r="R16" s="70">
        <f>VLOOKUP(B16,'Salary -Dec-2024 (Full)'!$B$6:$AE$383,17,0)</f>
        <v>105000</v>
      </c>
      <c r="S16" s="395">
        <f>VLOOKUP(B16,'Salary -Dec-2024 (Full)'!$B$6:$AE$383,18,0)</f>
        <v>0</v>
      </c>
      <c r="T16" s="395">
        <f>VLOOKUP(B16,'Salary -Dec-2024 (Full)'!$B$6:$AE$383,19,0)</f>
        <v>0</v>
      </c>
      <c r="U16" s="396">
        <f>VLOOKUP(B16,'Salary -Dec-2024 (Full)'!$B$6:$AE$383,20,0)</f>
        <v>0</v>
      </c>
      <c r="V16" s="84">
        <f t="shared" ref="V16" si="37">SUM(R16:U16)</f>
        <v>105000</v>
      </c>
      <c r="W16" s="395">
        <f>VLOOKUP(B16,'Salary -Dec-2024 (Full)'!$B$6:$AE$383,22,0)</f>
        <v>2485</v>
      </c>
      <c r="X16" s="395">
        <f>VLOOKUP(B16,'Salary -Dec-2024 (Full)'!$B$6:$AE$383,23,0)</f>
        <v>0</v>
      </c>
      <c r="Y16" s="396">
        <f>VLOOKUP(B16,'Salary -Dec-2024 (Full)'!$B$6:$AE$383,24,0)</f>
        <v>0</v>
      </c>
      <c r="Z16" s="395">
        <f>VLOOKUP(B16,'Salary -Dec-2024 (Full)'!$B$6:$AE$383,25,0)</f>
        <v>0</v>
      </c>
      <c r="AA16" s="395">
        <f>VLOOKUP(B16,'Salary -Dec-2024 (Full)'!$B$6:$AE$383,26,0)</f>
        <v>0</v>
      </c>
      <c r="AB16" s="774">
        <f t="shared" si="28"/>
        <v>2485</v>
      </c>
      <c r="AC16" s="84">
        <f t="shared" si="29"/>
        <v>102515</v>
      </c>
      <c r="AD16" s="86" t="str">
        <f>VLOOKUP(B16,'Salary -Dec-2024 (Full)'!$B$6:$AE$286,29,0)</f>
        <v>Bank</v>
      </c>
      <c r="AE16" s="78" t="str">
        <f>VLOOKUP(B16,'Salary -Dec-2024 (Full)'!$B$6:$AE$286,30,0)</f>
        <v>103.103.1400910</v>
      </c>
      <c r="AH16" s="198"/>
    </row>
    <row r="17" spans="1:34" s="47" customFormat="1" ht="30" customHeight="1">
      <c r="A17" s="1031"/>
      <c r="B17" s="1032"/>
      <c r="C17" s="1033"/>
      <c r="D17" s="1034"/>
      <c r="E17" s="1040"/>
      <c r="F17" s="1036"/>
      <c r="G17" s="1036"/>
      <c r="H17" s="1036"/>
      <c r="I17" s="1036"/>
      <c r="J17" s="1036"/>
      <c r="K17" s="1037">
        <f>SUM(K12:K16)</f>
        <v>227600</v>
      </c>
      <c r="L17" s="1037">
        <f t="shared" ref="L17:Z17" si="38">SUM(L12:L16)</f>
        <v>136560</v>
      </c>
      <c r="M17" s="1037">
        <f t="shared" si="38"/>
        <v>68280</v>
      </c>
      <c r="N17" s="1037">
        <f t="shared" si="38"/>
        <v>13656</v>
      </c>
      <c r="O17" s="1037">
        <f t="shared" si="38"/>
        <v>9104</v>
      </c>
      <c r="P17" s="1037">
        <f t="shared" si="38"/>
        <v>0</v>
      </c>
      <c r="Q17" s="1037">
        <f t="shared" si="38"/>
        <v>227600</v>
      </c>
      <c r="R17" s="1037">
        <f t="shared" si="38"/>
        <v>227600</v>
      </c>
      <c r="S17" s="1037">
        <f t="shared" si="38"/>
        <v>0</v>
      </c>
      <c r="T17" s="1037">
        <f t="shared" si="38"/>
        <v>0</v>
      </c>
      <c r="U17" s="1037">
        <f t="shared" si="38"/>
        <v>0</v>
      </c>
      <c r="V17" s="1037">
        <f t="shared" si="38"/>
        <v>227600</v>
      </c>
      <c r="W17" s="1037">
        <f>SUM(W12:W16)</f>
        <v>3319</v>
      </c>
      <c r="X17" s="1037">
        <f t="shared" si="38"/>
        <v>0</v>
      </c>
      <c r="Y17" s="1037">
        <f t="shared" si="38"/>
        <v>3678</v>
      </c>
      <c r="Z17" s="1037">
        <f t="shared" si="38"/>
        <v>2509</v>
      </c>
      <c r="AA17" s="1037"/>
      <c r="AB17" s="1037">
        <f>SUM(AB12:AB16)</f>
        <v>9506</v>
      </c>
      <c r="AC17" s="1037">
        <f>SUM(AC12:AC16)</f>
        <v>218094</v>
      </c>
      <c r="AD17" s="1037"/>
      <c r="AE17" s="1039"/>
      <c r="AG17" s="61"/>
      <c r="AH17" s="198"/>
    </row>
    <row r="18" spans="1:34" s="130" customFormat="1" ht="30" customHeight="1">
      <c r="A18" s="362" t="s">
        <v>587</v>
      </c>
      <c r="B18" s="121"/>
      <c r="C18" s="122"/>
      <c r="D18" s="143"/>
      <c r="E18" s="121"/>
      <c r="F18" s="363"/>
      <c r="G18" s="123"/>
      <c r="H18" s="360"/>
      <c r="I18" s="123"/>
      <c r="J18" s="124"/>
      <c r="K18" s="361"/>
      <c r="L18" s="361"/>
      <c r="M18" s="361"/>
      <c r="N18" s="361"/>
      <c r="O18" s="361"/>
      <c r="P18" s="361"/>
      <c r="Q18" s="123"/>
      <c r="R18" s="361"/>
      <c r="S18" s="361"/>
      <c r="T18" s="361"/>
      <c r="U18" s="361"/>
      <c r="V18" s="469"/>
      <c r="W18" s="469"/>
      <c r="X18" s="470"/>
      <c r="Y18" s="471"/>
      <c r="Z18" s="470"/>
      <c r="AA18" s="470"/>
      <c r="AB18" s="470"/>
      <c r="AC18" s="472"/>
      <c r="AD18" s="128"/>
      <c r="AE18" s="129"/>
      <c r="AG18" s="61"/>
      <c r="AH18" s="198"/>
    </row>
    <row r="19" spans="1:34" s="61" customFormat="1" ht="30" customHeight="1">
      <c r="A19" s="48">
        <v>1</v>
      </c>
      <c r="B19" s="49" t="s">
        <v>694</v>
      </c>
      <c r="C19" s="50" t="str">
        <f>VLOOKUP(B19,Attendance!$B$6:$D$385,2,0)</f>
        <v>Md Mizanur Rahman</v>
      </c>
      <c r="D19" s="279" t="str">
        <f>VLOOKUP(B19,'Salary -Dec-2024 (Full)'!$B$6:$D$286,3,0)</f>
        <v>Assistant Manager</v>
      </c>
      <c r="E19" s="279" t="str">
        <f>VLOOKUP(B19,'Salary -Dec-2024 (Full)'!$B$6:$AE$286,4,0)</f>
        <v>R&amp;D</v>
      </c>
      <c r="F19" s="288">
        <f>VLOOKUP(B19,'Salary -Dec-2024 (Full)'!$B$6:$AE$286,5,0)</f>
        <v>45078</v>
      </c>
      <c r="G19" s="52">
        <f>VLOOKUP(B19,'Salary -Dec-2024 (Full)'!$B$6:$AE$286,6,0)</f>
        <v>31</v>
      </c>
      <c r="H19" s="53">
        <f>VLOOKUP(B19,'Salary -Dec-2024 (Full)'!$B$6:$AE$286,7,0)</f>
        <v>0</v>
      </c>
      <c r="I19" s="52">
        <f>G19-H19</f>
        <v>31</v>
      </c>
      <c r="J19" s="53">
        <f>Q19/G19</f>
        <v>2903.2258064516127</v>
      </c>
      <c r="K19" s="53">
        <f>VLOOKUP(B19,'Salary -Dec-2024 (Full)'!$B$6:$AE$286,10,0)</f>
        <v>90000</v>
      </c>
      <c r="L19" s="54">
        <f>K19*60%</f>
        <v>54000</v>
      </c>
      <c r="M19" s="54">
        <f>K19*30%</f>
        <v>27000</v>
      </c>
      <c r="N19" s="54">
        <f>K19*6%</f>
        <v>5400</v>
      </c>
      <c r="O19" s="54">
        <f>K19*4%</f>
        <v>3600</v>
      </c>
      <c r="P19" s="55"/>
      <c r="Q19" s="56">
        <f>SUM(L19:P19)</f>
        <v>90000</v>
      </c>
      <c r="R19" s="56">
        <f>VLOOKUP(B19,'Salary -Dec-2024 (Full)'!$B$6:$AE$383,17,0)</f>
        <v>90000</v>
      </c>
      <c r="S19" s="58">
        <f>VLOOKUP(B19,'Salary -Dec-2024 (Full)'!$B$6:$AE$383,18,0)</f>
        <v>0</v>
      </c>
      <c r="T19" s="58">
        <f>VLOOKUP(B19,'Salary -Dec-2024 (Full)'!$B$6:$AE$383,19,0)</f>
        <v>0</v>
      </c>
      <c r="U19" s="393">
        <f>VLOOKUP(B19,'Salary -Dec-2024 (Full)'!$B$6:$AE$383,20,0)</f>
        <v>0</v>
      </c>
      <c r="V19" s="57">
        <f>SUM(R19:U19)</f>
        <v>90000</v>
      </c>
      <c r="W19" s="58">
        <f>VLOOKUP(B19,'Salary -Dec-2024 (Full)'!$B$6:$AE$383,22,0)</f>
        <v>1287</v>
      </c>
      <c r="X19" s="58">
        <f>VLOOKUP(B19,'Salary -Dec-2024 (Full)'!$B$6:$AE$383,23,0)</f>
        <v>0</v>
      </c>
      <c r="Y19" s="393">
        <f>VLOOKUP(B19,'Salary -Dec-2024 (Full)'!$B$6:$AE$383,24,0)</f>
        <v>2700</v>
      </c>
      <c r="Z19" s="58">
        <f>VLOOKUP(B19,'Salary -Dec-2024 (Full)'!$B$6:$AE$383,25,0)</f>
        <v>0</v>
      </c>
      <c r="AA19" s="58">
        <f>VLOOKUP(B19,'Salary -Dec-2024 (Full)'!$B$6:$AE$383,26,0)</f>
        <v>0</v>
      </c>
      <c r="AB19" s="394">
        <f>SUM(W19:AA19)</f>
        <v>3987</v>
      </c>
      <c r="AC19" s="57">
        <f>ROUND(V19-AB19,0)</f>
        <v>86013</v>
      </c>
      <c r="AD19" s="60" t="str">
        <f>VLOOKUP(B19,'Salary -Dec-2024 (Full)'!$B$6:$AE$286,29,0)</f>
        <v>Bank</v>
      </c>
      <c r="AE19" s="51" t="str">
        <f>VLOOKUP(B19,'Salary -Dec-2024 (Full)'!$B$6:$AE$286,30,0)</f>
        <v>125.159.0000529</v>
      </c>
      <c r="AH19" s="198"/>
    </row>
    <row r="20" spans="1:34" s="61" customFormat="1" ht="30" customHeight="1">
      <c r="A20" s="62">
        <v>2</v>
      </c>
      <c r="B20" s="63" t="s">
        <v>702</v>
      </c>
      <c r="C20" s="64" t="str">
        <f>VLOOKUP(B20,'Salary -Dec-2024 (Full)'!$B$6:$D$286,2,0)</f>
        <v>Md. Mizanur Rahman Milon</v>
      </c>
      <c r="D20" s="115" t="str">
        <f>VLOOKUP(B20,'Salary -Dec-2024 (Full)'!$B$6:$D$286,3,0)</f>
        <v>Night Gurd</v>
      </c>
      <c r="E20" s="115" t="str">
        <f>VLOOKUP(B20,'Salary -Dec-2024 (Full)'!$B$6:$AE$286,4,0)</f>
        <v>R&amp;D (Seed)</v>
      </c>
      <c r="F20" s="266">
        <f>VLOOKUP(B20,'Salary -Dec-2024 (Full)'!$B$6:$AE$286,5,0)</f>
        <v>45078</v>
      </c>
      <c r="G20" s="66">
        <f>VLOOKUP(B20,'Salary -Dec-2024 (Full)'!$B$6:$AE$286,6,0)</f>
        <v>31</v>
      </c>
      <c r="H20" s="67">
        <f>VLOOKUP(B20,'Salary -Dec-2024 (Full)'!$B$6:$AE$286,7,0)</f>
        <v>0</v>
      </c>
      <c r="I20" s="66">
        <f>G20-H20</f>
        <v>31</v>
      </c>
      <c r="J20" s="67">
        <f>Q20/G20</f>
        <v>441.93548387096774</v>
      </c>
      <c r="K20" s="67">
        <f>VLOOKUP(B20,'Salary -Dec-2024 (Full)'!$B$6:$AE$286,10,0)</f>
        <v>13700</v>
      </c>
      <c r="L20" s="68">
        <f>K20*60%</f>
        <v>8220</v>
      </c>
      <c r="M20" s="68">
        <f>K20*30%</f>
        <v>4110</v>
      </c>
      <c r="N20" s="68">
        <f>K20*6%</f>
        <v>822</v>
      </c>
      <c r="O20" s="68">
        <f>K20*4%</f>
        <v>548</v>
      </c>
      <c r="P20" s="69"/>
      <c r="Q20" s="70">
        <f>SUM(L20:P20)</f>
        <v>13700</v>
      </c>
      <c r="R20" s="70">
        <f>VLOOKUP(B20,'Salary -Dec-2024 (Full)'!$B$6:$AE$383,17,0)</f>
        <v>13700</v>
      </c>
      <c r="S20" s="192">
        <f>VLOOKUP(B20,'Salary -Dec-2024 (Full)'!$B$6:$AE$383,18,0)</f>
        <v>0</v>
      </c>
      <c r="T20" s="192">
        <f>VLOOKUP(B20,'Salary -Dec-2024 (Full)'!$B$6:$AE$383,19,0)</f>
        <v>0</v>
      </c>
      <c r="U20" s="337">
        <f>VLOOKUP(B20,'Salary -Dec-2024 (Full)'!$B$6:$AE$383,20,0)</f>
        <v>0</v>
      </c>
      <c r="V20" s="71">
        <f>SUM(R20:U20)</f>
        <v>13700</v>
      </c>
      <c r="W20" s="192">
        <f>VLOOKUP(B20,'Salary -Dec-2024 (Full)'!$B$6:$AE$383,22,0)</f>
        <v>0</v>
      </c>
      <c r="X20" s="192">
        <f>VLOOKUP(B20,'Salary -Dec-2024 (Full)'!$B$6:$AE$383,23,0)</f>
        <v>0</v>
      </c>
      <c r="Y20" s="337">
        <f>VLOOKUP(B20,'Salary -Dec-2024 (Full)'!$B$6:$AE$383,24,0)</f>
        <v>411</v>
      </c>
      <c r="Z20" s="192">
        <f>VLOOKUP(B20,'Salary -Dec-2024 (Full)'!$B$6:$AE$383,25,0)</f>
        <v>0</v>
      </c>
      <c r="AA20" s="192">
        <f>VLOOKUP(B20,'Salary -Dec-2024 (Full)'!$B$6:$AE$383,26,0)</f>
        <v>0</v>
      </c>
      <c r="AB20" s="379">
        <f>SUM(W20:AA20)</f>
        <v>411</v>
      </c>
      <c r="AC20" s="71">
        <f>ROUND(V20-AB20,0)</f>
        <v>13289</v>
      </c>
      <c r="AD20" s="74" t="str">
        <f>VLOOKUP(B20,'Salary -Dec-2024 (Full)'!$B$6:$AE$286,29,0)</f>
        <v>Bank</v>
      </c>
      <c r="AE20" s="65" t="str">
        <f>VLOOKUP(B20,'Salary -Dec-2024 (Full)'!$B$6:$AE$286,30,0)</f>
        <v>125.158.0097944</v>
      </c>
      <c r="AH20" s="198"/>
    </row>
    <row r="21" spans="1:34" s="61" customFormat="1" ht="30" customHeight="1">
      <c r="A21" s="62">
        <v>3</v>
      </c>
      <c r="B21" s="63" t="s">
        <v>1444</v>
      </c>
      <c r="C21" s="64" t="str">
        <f>VLOOKUP(B21,'Salary -Dec-2024 (Full)'!$B$6:$D$286,2,0)</f>
        <v>Md. Rashed Dastgir</v>
      </c>
      <c r="D21" s="115" t="str">
        <f>VLOOKUP(B21,'Salary -Dec-2024 (Full)'!$B$6:$D$286,3,0)</f>
        <v>Assistant Manager (R&amp;D)</v>
      </c>
      <c r="E21" s="115" t="str">
        <f>VLOOKUP(B21,'Salary -Dec-2024 (Full)'!$B$6:$AE$286,4,0)</f>
        <v>Pesticide &amp; Fertilizer</v>
      </c>
      <c r="F21" s="266">
        <f>VLOOKUP(B21,'Salary -Dec-2024 (Full)'!$B$6:$AE$286,5,0)</f>
        <v>45475</v>
      </c>
      <c r="G21" s="66">
        <f>VLOOKUP(B21,'Salary -Dec-2024 (Full)'!$B$6:$AE$286,6,0)</f>
        <v>31</v>
      </c>
      <c r="H21" s="67">
        <f>VLOOKUP(B21,'Salary -Dec-2024 (Full)'!$B$6:$AE$286,7,0)</f>
        <v>0</v>
      </c>
      <c r="I21" s="66">
        <f>G21-H21</f>
        <v>31</v>
      </c>
      <c r="J21" s="67">
        <f>Q21/G21</f>
        <v>1612.9032258064517</v>
      </c>
      <c r="K21" s="67">
        <f>VLOOKUP(B21,'Salary -Dec-2024 (Full)'!$B$6:$AE$286,10,0)</f>
        <v>50000</v>
      </c>
      <c r="L21" s="68">
        <f>K21*60%</f>
        <v>30000</v>
      </c>
      <c r="M21" s="68">
        <f>K21*30%</f>
        <v>15000</v>
      </c>
      <c r="N21" s="68">
        <f>K21*6%</f>
        <v>3000</v>
      </c>
      <c r="O21" s="68">
        <f>K21*4%</f>
        <v>2000</v>
      </c>
      <c r="P21" s="69"/>
      <c r="Q21" s="70">
        <f>SUM(L21:P21)</f>
        <v>50000</v>
      </c>
      <c r="R21" s="70">
        <f>VLOOKUP(B21,'Salary -Dec-2024 (Full)'!$B$6:$AE$383,17,0)</f>
        <v>50000</v>
      </c>
      <c r="S21" s="192">
        <f>VLOOKUP(B21,'Salary -Dec-2024 (Full)'!$B$6:$AE$383,18,0)</f>
        <v>0</v>
      </c>
      <c r="T21" s="192">
        <f>VLOOKUP(B21,'Salary -Dec-2024 (Full)'!$B$6:$AE$383,19,0)</f>
        <v>0</v>
      </c>
      <c r="U21" s="337">
        <f>VLOOKUP(B21,'Salary -Dec-2024 (Full)'!$B$6:$AE$383,20,0)</f>
        <v>0</v>
      </c>
      <c r="V21" s="71">
        <f>SUM(R21:U21)</f>
        <v>50000</v>
      </c>
      <c r="W21" s="192">
        <f>VLOOKUP(B21,'Salary -Dec-2024 (Full)'!$B$6:$AE$383,22,0)</f>
        <v>417</v>
      </c>
      <c r="X21" s="192">
        <f>VLOOKUP(B21,'Salary -Dec-2024 (Full)'!$B$6:$AE$383,23,0)</f>
        <v>0</v>
      </c>
      <c r="Y21" s="337">
        <f>VLOOKUP(B21,'Salary -Dec-2024 (Full)'!$B$6:$AE$383,24,0)</f>
        <v>0</v>
      </c>
      <c r="Z21" s="192">
        <f>VLOOKUP(B21,'Salary -Dec-2024 (Full)'!$B$6:$AE$383,25,0)</f>
        <v>0</v>
      </c>
      <c r="AA21" s="192">
        <f>VLOOKUP(B21,'Salary -Dec-2024 (Full)'!$B$6:$AE$383,26,0)</f>
        <v>0</v>
      </c>
      <c r="AB21" s="379">
        <f>SUM(W21:AA21)</f>
        <v>417</v>
      </c>
      <c r="AC21" s="71">
        <f>ROUND(V21-AB21,0)</f>
        <v>49583</v>
      </c>
      <c r="AD21" s="74" t="str">
        <f>VLOOKUP(B21,'Salary -Dec-2024 (Full)'!$B$6:$AE$286,29,0)</f>
        <v>Bank</v>
      </c>
      <c r="AE21" s="65" t="str">
        <f>VLOOKUP(B21,'Salary -Dec-2024 (Full)'!$B$6:$AE$286,30,0)</f>
        <v>103.103.1404353</v>
      </c>
      <c r="AH21" s="198"/>
    </row>
    <row r="22" spans="1:34" s="61" customFormat="1" ht="30" customHeight="1">
      <c r="A22" s="62">
        <v>4</v>
      </c>
      <c r="B22" s="63" t="s">
        <v>1161</v>
      </c>
      <c r="C22" s="64" t="str">
        <f>VLOOKUP(B22,'Salary -Dec-2024 (Full)'!$B$6:$D$286,2,0)</f>
        <v>Sujan Chandra Roy</v>
      </c>
      <c r="D22" s="115" t="str">
        <f>VLOOKUP(B22,'Salary -Dec-2024 (Full)'!$B$6:$D$286,3,0)</f>
        <v>Farm Supervisor</v>
      </c>
      <c r="E22" s="115" t="str">
        <f>VLOOKUP(B22,'Salary -Dec-2024 (Full)'!$B$6:$AE$286,4,0)</f>
        <v>Seed</v>
      </c>
      <c r="F22" s="266">
        <f>VLOOKUP(B22,'Salary -Dec-2024 (Full)'!$B$6:$AE$286,5,0)</f>
        <v>45323</v>
      </c>
      <c r="G22" s="66">
        <f>VLOOKUP(B22,'Salary -Dec-2024 (Full)'!$B$6:$AE$286,6,0)</f>
        <v>31</v>
      </c>
      <c r="H22" s="67">
        <f>VLOOKUP(B22,'Salary -Dec-2024 (Full)'!$B$6:$AE$286,7,0)</f>
        <v>0</v>
      </c>
      <c r="I22" s="66">
        <f>G22-H22</f>
        <v>31</v>
      </c>
      <c r="J22" s="67">
        <f>Q22/G22</f>
        <v>838.70967741935488</v>
      </c>
      <c r="K22" s="67">
        <f>VLOOKUP(B22,'Salary -Dec-2024 (Full)'!$B$6:$AE$286,10,0)</f>
        <v>26000</v>
      </c>
      <c r="L22" s="68">
        <f>K22*60%</f>
        <v>15600</v>
      </c>
      <c r="M22" s="68">
        <f>K22*30%</f>
        <v>7800</v>
      </c>
      <c r="N22" s="68">
        <f>K22*6%</f>
        <v>1560</v>
      </c>
      <c r="O22" s="68">
        <f>K22*4%</f>
        <v>1040</v>
      </c>
      <c r="P22" s="69"/>
      <c r="Q22" s="70">
        <f>SUM(L22:P22)</f>
        <v>26000</v>
      </c>
      <c r="R22" s="83">
        <f>VLOOKUP(B22,'Salary -Dec-2024 (Full)'!$B$6:$AE$383,17,0)</f>
        <v>26000</v>
      </c>
      <c r="S22" s="192">
        <f>VLOOKUP(B22,'Salary -Dec-2024 (Full)'!$B$6:$AE$383,18,0)</f>
        <v>0</v>
      </c>
      <c r="T22" s="192">
        <f>VLOOKUP(B22,'Salary -Dec-2024 (Full)'!$B$6:$AE$383,19,0)</f>
        <v>0</v>
      </c>
      <c r="U22" s="337">
        <f>VLOOKUP(B22,'Salary -Dec-2024 (Full)'!$B$6:$AE$383,20,0)</f>
        <v>0</v>
      </c>
      <c r="V22" s="71">
        <f>SUM(R22:U22)</f>
        <v>26000</v>
      </c>
      <c r="W22" s="192">
        <f>VLOOKUP(B22,'Salary -Dec-2024 (Full)'!$B$6:$AE$383,22,0)</f>
        <v>0</v>
      </c>
      <c r="X22" s="192">
        <f>VLOOKUP(B22,'Salary -Dec-2024 (Full)'!$B$6:$AE$383,23,0)</f>
        <v>0</v>
      </c>
      <c r="Y22" s="337">
        <f>VLOOKUP(B22,'Salary -Dec-2024 (Full)'!$B$6:$AE$383,24,0)</f>
        <v>0</v>
      </c>
      <c r="Z22" s="192">
        <f>VLOOKUP(B22,'Salary -Dec-2024 (Full)'!$B$6:$AE$383,25,0)</f>
        <v>0</v>
      </c>
      <c r="AA22" s="192">
        <f>VLOOKUP(B22,'Salary -Dec-2024 (Full)'!$B$6:$AE$383,26,0)</f>
        <v>0</v>
      </c>
      <c r="AB22" s="379">
        <f>SUM(W22:AA22)</f>
        <v>0</v>
      </c>
      <c r="AC22" s="71">
        <f>ROUND(V22-AB22,0)</f>
        <v>26000</v>
      </c>
      <c r="AD22" s="74" t="str">
        <f>VLOOKUP(B22,'Salary -Dec-2024 (Full)'!$B$6:$AE$286,29,0)</f>
        <v>Bank</v>
      </c>
      <c r="AE22" s="65" t="str">
        <f>VLOOKUP(B22,'Salary -Dec-2024 (Full)'!$B$6:$AE$286,30,0)</f>
        <v>125.103.0229731</v>
      </c>
      <c r="AH22" s="198"/>
    </row>
    <row r="23" spans="1:34" s="47" customFormat="1" ht="30" customHeight="1">
      <c r="A23" s="1031"/>
      <c r="B23" s="1032"/>
      <c r="C23" s="1033"/>
      <c r="D23" s="1034"/>
      <c r="E23" s="1040"/>
      <c r="F23" s="1036"/>
      <c r="G23" s="1036"/>
      <c r="H23" s="1036"/>
      <c r="I23" s="1036"/>
      <c r="J23" s="1036"/>
      <c r="K23" s="1037">
        <f>SUM(K19:K22)</f>
        <v>179700</v>
      </c>
      <c r="L23" s="1037">
        <f t="shared" ref="L23:AC23" si="39">SUM(L19:L22)</f>
        <v>107820</v>
      </c>
      <c r="M23" s="1037">
        <f t="shared" si="39"/>
        <v>53910</v>
      </c>
      <c r="N23" s="1037">
        <f t="shared" si="39"/>
        <v>10782</v>
      </c>
      <c r="O23" s="1037">
        <f t="shared" si="39"/>
        <v>7188</v>
      </c>
      <c r="P23" s="1037">
        <f t="shared" si="39"/>
        <v>0</v>
      </c>
      <c r="Q23" s="1037">
        <f t="shared" si="39"/>
        <v>179700</v>
      </c>
      <c r="R23" s="1037">
        <f t="shared" si="39"/>
        <v>179700</v>
      </c>
      <c r="S23" s="1037">
        <f t="shared" si="39"/>
        <v>0</v>
      </c>
      <c r="T23" s="1037">
        <f t="shared" si="39"/>
        <v>0</v>
      </c>
      <c r="U23" s="1037">
        <f t="shared" si="39"/>
        <v>0</v>
      </c>
      <c r="V23" s="1037">
        <f t="shared" si="39"/>
        <v>179700</v>
      </c>
      <c r="W23" s="1037">
        <f t="shared" si="39"/>
        <v>1704</v>
      </c>
      <c r="X23" s="1037">
        <f t="shared" si="39"/>
        <v>0</v>
      </c>
      <c r="Y23" s="1037">
        <f t="shared" si="39"/>
        <v>3111</v>
      </c>
      <c r="Z23" s="1037">
        <f t="shared" si="39"/>
        <v>0</v>
      </c>
      <c r="AA23" s="1037">
        <f t="shared" si="39"/>
        <v>0</v>
      </c>
      <c r="AB23" s="1037">
        <f t="shared" si="39"/>
        <v>4815</v>
      </c>
      <c r="AC23" s="1037">
        <f t="shared" si="39"/>
        <v>174885</v>
      </c>
      <c r="AD23" s="1037"/>
      <c r="AE23" s="1039"/>
      <c r="AG23" s="61"/>
      <c r="AH23" s="198"/>
    </row>
    <row r="24" spans="1:34" s="47" customFormat="1" ht="30" customHeight="1">
      <c r="A24" s="347" t="s">
        <v>1122</v>
      </c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775"/>
      <c r="AG24" s="61"/>
      <c r="AH24" s="198"/>
    </row>
    <row r="25" spans="1:34" s="61" customFormat="1" ht="30" customHeight="1">
      <c r="A25" s="771">
        <v>1</v>
      </c>
      <c r="B25" s="405" t="s">
        <v>558</v>
      </c>
      <c r="C25" s="772" t="str">
        <f>VLOOKUP(B25,Attendance!$B$6:$D$385,2,0)</f>
        <v>Md. Billal Hossain</v>
      </c>
      <c r="D25" s="773" t="str">
        <f>VLOOKUP(B25,'Salary -Dec-2024 (Full)'!$B$6:$D$286,3,0)</f>
        <v>STSO</v>
      </c>
      <c r="E25" s="773" t="str">
        <f>VLOOKUP(B25,'Salary -Dec-2024 (Full)'!$B$6:$AE$286,4,0)</f>
        <v>S&amp;M</v>
      </c>
      <c r="F25" s="266">
        <f>VLOOKUP(B25,'Salary -Dec-2024 (Full)'!$B$6:$AE$286,5,0)</f>
        <v>44977</v>
      </c>
      <c r="G25" s="66">
        <f>VLOOKUP(B25,'Salary -Dec-2024 (Full)'!$B$6:$AE$286,6,0)</f>
        <v>31</v>
      </c>
      <c r="H25" s="67">
        <f>VLOOKUP(B25,'Salary -Dec-2024 (Full)'!$B$6:$AE$286,7,0)</f>
        <v>0</v>
      </c>
      <c r="I25" s="66">
        <f t="shared" ref="I25" si="40">G25-H25</f>
        <v>31</v>
      </c>
      <c r="J25" s="67">
        <f t="shared" ref="J25:J33" si="41">Q25/G25</f>
        <v>993.54838709677415</v>
      </c>
      <c r="K25" s="67">
        <f>VLOOKUP(B25,'Salary -Dec-2024 (Full)'!$B$6:$AE$286,10,0)</f>
        <v>30800</v>
      </c>
      <c r="L25" s="186">
        <f t="shared" ref="L25" si="42">K25*60%</f>
        <v>18480</v>
      </c>
      <c r="M25" s="186">
        <f t="shared" ref="M25" si="43">K25*30%</f>
        <v>9240</v>
      </c>
      <c r="N25" s="186">
        <f t="shared" ref="N25" si="44">K25*6%</f>
        <v>1848</v>
      </c>
      <c r="O25" s="186">
        <f t="shared" ref="O25" si="45">K25*4%</f>
        <v>1232</v>
      </c>
      <c r="P25" s="187"/>
      <c r="Q25" s="188">
        <f>SUM(L25:P25)</f>
        <v>30800</v>
      </c>
      <c r="R25" s="188">
        <f>VLOOKUP(B25,'Salary -Dec-2024 (Full)'!$B$6:$AE$383,17,0)</f>
        <v>30800</v>
      </c>
      <c r="S25" s="192">
        <f>VLOOKUP(B25,'Salary -Dec-2024 (Full)'!$B$6:$AE$383,18,0)</f>
        <v>0</v>
      </c>
      <c r="T25" s="192">
        <f>VLOOKUP(B25,'Salary -Dec-2024 (Full)'!$B$6:$AE$383,19,0)</f>
        <v>0</v>
      </c>
      <c r="U25" s="337">
        <f>VLOOKUP(B25,'Salary -Dec-2024 (Full)'!$B$6:$AE$383,20,0)</f>
        <v>0</v>
      </c>
      <c r="V25" s="191">
        <f t="shared" ref="V25" si="46">SUM(R25:U25)</f>
        <v>30800</v>
      </c>
      <c r="W25" s="192">
        <f>VLOOKUP(B25,'Salary -Dec-2024 (Full)'!$B$6:$AE$383,22,0)</f>
        <v>0</v>
      </c>
      <c r="X25" s="192">
        <f>VLOOKUP(B25,'Salary -Dec-2024 (Full)'!$B$6:$AE$383,23,0)</f>
        <v>0</v>
      </c>
      <c r="Y25" s="337">
        <f>VLOOKUP(B25,'Salary -Dec-2024 (Full)'!$B$6:$AE$383,24,0)</f>
        <v>924</v>
      </c>
      <c r="Z25" s="192">
        <f>VLOOKUP(B25,'Salary -Dec-2024 (Full)'!$B$6:$AE$383,25,0)</f>
        <v>2160</v>
      </c>
      <c r="AA25" s="192">
        <f>VLOOKUP(B25,'Salary -Dec-2024 (Full)'!$B$6:$AE$383,26,0)</f>
        <v>0</v>
      </c>
      <c r="AB25" s="384">
        <f>SUM(W25:AA25)</f>
        <v>3084</v>
      </c>
      <c r="AC25" s="191">
        <f>ROUND(V25-AB25,0)</f>
        <v>27716</v>
      </c>
      <c r="AD25" s="194" t="str">
        <f>VLOOKUP(B25,'Salary -Dec-2024 (Full)'!$B$6:$AE$286,29,0)</f>
        <v>Bank</v>
      </c>
      <c r="AE25" s="196" t="str">
        <f>VLOOKUP(B25,'Salary -Dec-2024 (Full)'!$B$6:$AE$286,30,0)</f>
        <v>268.151.0086723</v>
      </c>
      <c r="AH25" s="198"/>
    </row>
    <row r="26" spans="1:34" s="61" customFormat="1" ht="30" customHeight="1">
      <c r="A26" s="62">
        <v>2</v>
      </c>
      <c r="B26" s="336" t="s">
        <v>588</v>
      </c>
      <c r="C26" s="64" t="str">
        <f>VLOOKUP(B26,Attendance!$B$6:$D$385,2,0)</f>
        <v>Md. Rashedul Islam Chowdhury</v>
      </c>
      <c r="D26" s="115" t="str">
        <f>VLOOKUP(B26,'Salary -Dec-2024 (Full)'!$B$6:$D$286,3,0)</f>
        <v>STSO</v>
      </c>
      <c r="E26" s="115" t="str">
        <f>VLOOKUP(B26,'Salary -Dec-2024 (Full)'!$B$6:$AE$286,4,0)</f>
        <v>SEED</v>
      </c>
      <c r="F26" s="266">
        <f>VLOOKUP(B26,'Salary -Dec-2024 (Full)'!$B$6:$AE$286,5,0)</f>
        <v>45000</v>
      </c>
      <c r="G26" s="66">
        <f>VLOOKUP(B26,'Salary -Dec-2024 (Full)'!$B$6:$AE$286,6,0)</f>
        <v>31</v>
      </c>
      <c r="H26" s="67">
        <f>VLOOKUP(B26,'Salary -Dec-2024 (Full)'!$B$6:$AE$286,7,0)</f>
        <v>0</v>
      </c>
      <c r="I26" s="66">
        <f t="shared" ref="I26:I31" si="47">G26-H26</f>
        <v>31</v>
      </c>
      <c r="J26" s="67">
        <f t="shared" si="41"/>
        <v>1080.6451612903227</v>
      </c>
      <c r="K26" s="67">
        <f>VLOOKUP(B26,'Salary -Dec-2024 (Full)'!$B$6:$AE$286,10,0)</f>
        <v>33500</v>
      </c>
      <c r="L26" s="68">
        <f t="shared" ref="L26:L31" si="48">K26*60%</f>
        <v>20100</v>
      </c>
      <c r="M26" s="68">
        <f t="shared" ref="M26:M31" si="49">K26*30%</f>
        <v>10050</v>
      </c>
      <c r="N26" s="68">
        <f t="shared" ref="N26:N31" si="50">K26*6%</f>
        <v>2010</v>
      </c>
      <c r="O26" s="68">
        <f t="shared" ref="O26:O31" si="51">K26*4%</f>
        <v>1340</v>
      </c>
      <c r="P26" s="69"/>
      <c r="Q26" s="70">
        <f t="shared" ref="Q26:Q31" si="52">SUM(L26:P26)</f>
        <v>33500</v>
      </c>
      <c r="R26" s="70">
        <f>VLOOKUP(B26,'Salary -Dec-2024 (Full)'!$B$6:$AE$383,17,0)</f>
        <v>33500</v>
      </c>
      <c r="S26" s="192">
        <f>VLOOKUP(B26,'Salary -Dec-2024 (Full)'!$B$6:$AE$383,18,0)</f>
        <v>0</v>
      </c>
      <c r="T26" s="192">
        <f>VLOOKUP(B26,'Salary -Dec-2024 (Full)'!$B$6:$AE$383,19,0)</f>
        <v>0</v>
      </c>
      <c r="U26" s="337">
        <f>VLOOKUP(B26,'Salary -Dec-2024 (Full)'!$B$6:$AE$383,20,0)</f>
        <v>0</v>
      </c>
      <c r="V26" s="71">
        <f t="shared" ref="V26:V31" si="53">SUM(R26:U26)</f>
        <v>33500</v>
      </c>
      <c r="W26" s="192">
        <f>VLOOKUP(B26,'Salary -Dec-2024 (Full)'!$B$6:$AE$383,22,0)</f>
        <v>0</v>
      </c>
      <c r="X26" s="192">
        <f>VLOOKUP(B26,'Salary -Dec-2024 (Full)'!$B$6:$AE$383,23,0)</f>
        <v>0</v>
      </c>
      <c r="Y26" s="337">
        <f>VLOOKUP(B26,'Salary -Dec-2024 (Full)'!$B$6:$AE$383,24,0)</f>
        <v>1005</v>
      </c>
      <c r="Z26" s="192">
        <f>VLOOKUP(B26,'Salary -Dec-2024 (Full)'!$B$6:$AE$383,25,0)</f>
        <v>2160</v>
      </c>
      <c r="AA26" s="192">
        <f>VLOOKUP(B26,'Salary -Dec-2024 (Full)'!$B$6:$AE$383,26,0)</f>
        <v>0</v>
      </c>
      <c r="AB26" s="379">
        <f t="shared" ref="AB26:AB31" si="54">SUM(W26:AA26)</f>
        <v>3165</v>
      </c>
      <c r="AC26" s="71">
        <f t="shared" ref="AC26:AC31" si="55">ROUND(V26-AB26,0)</f>
        <v>30335</v>
      </c>
      <c r="AD26" s="74" t="str">
        <f>VLOOKUP(B26,'Salary -Dec-2024 (Full)'!$B$6:$AE$286,29,0)</f>
        <v>Bank</v>
      </c>
      <c r="AE26" s="65" t="str">
        <f>VLOOKUP(B26,'Salary -Dec-2024 (Full)'!$B$6:$AE$286,30,0)</f>
        <v>162.158.0089635</v>
      </c>
      <c r="AH26" s="198"/>
    </row>
    <row r="27" spans="1:34" s="61" customFormat="1" ht="30" customHeight="1">
      <c r="A27" s="62">
        <v>3</v>
      </c>
      <c r="B27" s="63" t="s">
        <v>641</v>
      </c>
      <c r="C27" s="64" t="str">
        <f>VLOOKUP(B27,Attendance!$B$6:$D$385,2,0)</f>
        <v>Md Mustafa Kamal</v>
      </c>
      <c r="D27" s="115" t="str">
        <f>VLOOKUP(B27,'Salary -Dec-2024 (Full)'!$B$6:$D$286,3,0)</f>
        <v>Territory Manager</v>
      </c>
      <c r="E27" s="115" t="str">
        <f>VLOOKUP(B27,'Salary -Dec-2024 (Full)'!$B$6:$AE$286,4,0)</f>
        <v>S&amp;M</v>
      </c>
      <c r="F27" s="266">
        <f>VLOOKUP(B27,'Salary -Dec-2024 (Full)'!$B$6:$AE$286,5,0)</f>
        <v>45048</v>
      </c>
      <c r="G27" s="66">
        <f>VLOOKUP(B27,'Salary -Dec-2024 (Full)'!$B$6:$AE$286,6,0)</f>
        <v>31</v>
      </c>
      <c r="H27" s="67">
        <f>VLOOKUP(B27,'Salary -Dec-2024 (Full)'!$B$6:$AE$286,7,0)</f>
        <v>0</v>
      </c>
      <c r="I27" s="66">
        <f t="shared" si="47"/>
        <v>31</v>
      </c>
      <c r="J27" s="67">
        <f t="shared" si="41"/>
        <v>1190.3225806451612</v>
      </c>
      <c r="K27" s="67">
        <f>VLOOKUP(B27,'Salary -Dec-2024 (Full)'!$B$6:$AE$286,10,0)</f>
        <v>36900</v>
      </c>
      <c r="L27" s="68">
        <f t="shared" si="48"/>
        <v>22140</v>
      </c>
      <c r="M27" s="68">
        <f t="shared" si="49"/>
        <v>11070</v>
      </c>
      <c r="N27" s="68">
        <f t="shared" si="50"/>
        <v>2214</v>
      </c>
      <c r="O27" s="68">
        <f t="shared" si="51"/>
        <v>1476</v>
      </c>
      <c r="P27" s="69"/>
      <c r="Q27" s="70">
        <f t="shared" si="52"/>
        <v>36900</v>
      </c>
      <c r="R27" s="70">
        <f>VLOOKUP(B27,'Salary -Dec-2024 (Full)'!$B$6:$AE$383,17,0)</f>
        <v>36900</v>
      </c>
      <c r="S27" s="192">
        <f>VLOOKUP(B27,'Salary -Dec-2024 (Full)'!$B$6:$AE$383,18,0)</f>
        <v>0</v>
      </c>
      <c r="T27" s="192">
        <f>VLOOKUP(B27,'Salary -Dec-2024 (Full)'!$B$6:$AE$383,19,0)</f>
        <v>0</v>
      </c>
      <c r="U27" s="337">
        <f>VLOOKUP(B27,'Salary -Dec-2024 (Full)'!$B$6:$AE$383,20,0)</f>
        <v>0</v>
      </c>
      <c r="V27" s="71">
        <f t="shared" si="53"/>
        <v>36900</v>
      </c>
      <c r="W27" s="192">
        <f>VLOOKUP(B27,'Salary -Dec-2024 (Full)'!$B$6:$AE$383,22,0)</f>
        <v>0</v>
      </c>
      <c r="X27" s="192">
        <f>VLOOKUP(B27,'Salary -Dec-2024 (Full)'!$B$6:$AE$383,23,0)</f>
        <v>0</v>
      </c>
      <c r="Y27" s="337">
        <f>VLOOKUP(B27,'Salary -Dec-2024 (Full)'!$B$6:$AE$383,24,0)</f>
        <v>1107</v>
      </c>
      <c r="Z27" s="192">
        <f>VLOOKUP(B27,'Salary -Dec-2024 (Full)'!$B$6:$AE$383,25,0)</f>
        <v>0</v>
      </c>
      <c r="AA27" s="192">
        <f>VLOOKUP(B27,'Salary -Dec-2024 (Full)'!$B$6:$AE$383,26,0)</f>
        <v>0</v>
      </c>
      <c r="AB27" s="379">
        <f t="shared" si="54"/>
        <v>1107</v>
      </c>
      <c r="AC27" s="71">
        <f t="shared" si="55"/>
        <v>35793</v>
      </c>
      <c r="AD27" s="74" t="str">
        <f>VLOOKUP(B27,'Salary -Dec-2024 (Full)'!$B$6:$AE$286,29,0)</f>
        <v>Bank</v>
      </c>
      <c r="AE27" s="65" t="str">
        <f>VLOOKUP(B27,'Salary -Dec-2024 (Full)'!$B$6:$AE$286,30,0)</f>
        <v>156.151.0345150</v>
      </c>
      <c r="AH27" s="198"/>
    </row>
    <row r="28" spans="1:34" s="61" customFormat="1" ht="30" customHeight="1">
      <c r="A28" s="62">
        <v>4</v>
      </c>
      <c r="B28" s="63" t="s">
        <v>645</v>
      </c>
      <c r="C28" s="64" t="str">
        <f>VLOOKUP(B28,Attendance!$B$6:$D$385,2,0)</f>
        <v>Md Rahem Mia</v>
      </c>
      <c r="D28" s="115" t="str">
        <f>VLOOKUP(B28,'Salary -Dec-2024 (Full)'!$B$6:$D$286,3,0)</f>
        <v>STSO</v>
      </c>
      <c r="E28" s="115" t="str">
        <f>VLOOKUP(B28,'Salary -Dec-2024 (Full)'!$B$6:$AE$286,4,0)</f>
        <v>S&amp;M</v>
      </c>
      <c r="F28" s="266">
        <f>VLOOKUP(B28,'Salary -Dec-2024 (Full)'!$B$6:$AE$286,5,0)</f>
        <v>45048</v>
      </c>
      <c r="G28" s="66">
        <f>VLOOKUP(B28,'Salary -Dec-2024 (Full)'!$B$6:$AE$286,6,0)</f>
        <v>31</v>
      </c>
      <c r="H28" s="67">
        <f>VLOOKUP(B28,'Salary -Dec-2024 (Full)'!$B$6:$AE$286,7,0)</f>
        <v>0</v>
      </c>
      <c r="I28" s="66">
        <f t="shared" si="47"/>
        <v>31</v>
      </c>
      <c r="J28" s="67">
        <f t="shared" si="41"/>
        <v>1006.4516129032259</v>
      </c>
      <c r="K28" s="67">
        <f>VLOOKUP(B28,'Salary -Dec-2024 (Full)'!$B$6:$AE$286,10,0)</f>
        <v>31200</v>
      </c>
      <c r="L28" s="68">
        <f t="shared" si="48"/>
        <v>18720</v>
      </c>
      <c r="M28" s="68">
        <f t="shared" si="49"/>
        <v>9360</v>
      </c>
      <c r="N28" s="68">
        <f t="shared" si="50"/>
        <v>1872</v>
      </c>
      <c r="O28" s="68">
        <f t="shared" si="51"/>
        <v>1248</v>
      </c>
      <c r="P28" s="69"/>
      <c r="Q28" s="70">
        <f t="shared" si="52"/>
        <v>31200</v>
      </c>
      <c r="R28" s="70">
        <f>VLOOKUP(B28,'Salary -Dec-2024 (Full)'!$B$6:$AE$383,17,0)</f>
        <v>31200</v>
      </c>
      <c r="S28" s="192">
        <f>VLOOKUP(B28,'Salary -Dec-2024 (Full)'!$B$6:$AE$383,18,0)</f>
        <v>0</v>
      </c>
      <c r="T28" s="192">
        <f>VLOOKUP(B28,'Salary -Dec-2024 (Full)'!$B$6:$AE$383,19,0)</f>
        <v>0</v>
      </c>
      <c r="U28" s="337">
        <f>VLOOKUP(B28,'Salary -Dec-2024 (Full)'!$B$6:$AE$383,20,0)</f>
        <v>0</v>
      </c>
      <c r="V28" s="71">
        <f t="shared" si="53"/>
        <v>31200</v>
      </c>
      <c r="W28" s="192">
        <f>VLOOKUP(B28,'Salary -Dec-2024 (Full)'!$B$6:$AE$383,22,0)</f>
        <v>0</v>
      </c>
      <c r="X28" s="192">
        <f>VLOOKUP(B28,'Salary -Dec-2024 (Full)'!$B$6:$AE$383,23,0)</f>
        <v>0</v>
      </c>
      <c r="Y28" s="337">
        <f>VLOOKUP(B28,'Salary -Dec-2024 (Full)'!$B$6:$AE$383,24,0)</f>
        <v>936</v>
      </c>
      <c r="Z28" s="192">
        <f>VLOOKUP(B28,'Salary -Dec-2024 (Full)'!$B$6:$AE$383,25,0)</f>
        <v>2160</v>
      </c>
      <c r="AA28" s="192">
        <f>VLOOKUP(B28,'Salary -Dec-2024 (Full)'!$B$6:$AE$383,26,0)</f>
        <v>0</v>
      </c>
      <c r="AB28" s="379">
        <f t="shared" si="54"/>
        <v>3096</v>
      </c>
      <c r="AC28" s="71">
        <f t="shared" si="55"/>
        <v>28104</v>
      </c>
      <c r="AD28" s="74" t="str">
        <f>VLOOKUP(B28,'Salary -Dec-2024 (Full)'!$B$6:$AE$286,29,0)</f>
        <v>Bank</v>
      </c>
      <c r="AE28" s="65" t="str">
        <f>VLOOKUP(B28,'Salary -Dec-2024 (Full)'!$B$6:$AE$286,30,0)</f>
        <v>231.158.0086891</v>
      </c>
      <c r="AH28" s="198"/>
    </row>
    <row r="29" spans="1:34" s="61" customFormat="1" ht="30" customHeight="1">
      <c r="A29" s="62">
        <v>5</v>
      </c>
      <c r="B29" s="63" t="s">
        <v>700</v>
      </c>
      <c r="C29" s="64" t="str">
        <f>VLOOKUP(B29,Attendance!$B$6:$D$385,2,0)</f>
        <v>Md Azabul Hossen</v>
      </c>
      <c r="D29" s="115" t="str">
        <f>VLOOKUP(B29,'Salary -Dec-2024 (Full)'!$B$6:$D$286,3,0)</f>
        <v>TSO</v>
      </c>
      <c r="E29" s="115" t="str">
        <f>VLOOKUP(B29,'Salary -Dec-2024 (Full)'!$B$6:$AE$286,4,0)</f>
        <v>S&amp;M</v>
      </c>
      <c r="F29" s="266">
        <f>VLOOKUP(B29,'Salary -Dec-2024 (Full)'!$B$6:$AE$286,5,0)</f>
        <v>45088</v>
      </c>
      <c r="G29" s="66">
        <f>VLOOKUP(B29,'Salary -Dec-2024 (Full)'!$B$6:$AE$286,6,0)</f>
        <v>31</v>
      </c>
      <c r="H29" s="67">
        <f>VLOOKUP(B29,'Salary -Dec-2024 (Full)'!$B$6:$AE$286,7,0)</f>
        <v>0</v>
      </c>
      <c r="I29" s="66">
        <f t="shared" si="47"/>
        <v>31</v>
      </c>
      <c r="J29" s="67">
        <f t="shared" si="41"/>
        <v>1000</v>
      </c>
      <c r="K29" s="67">
        <f>VLOOKUP(B29,'Salary -Dec-2024 (Full)'!$B$6:$AE$286,10,0)</f>
        <v>31000</v>
      </c>
      <c r="L29" s="68">
        <f t="shared" si="48"/>
        <v>18600</v>
      </c>
      <c r="M29" s="68">
        <f t="shared" si="49"/>
        <v>9300</v>
      </c>
      <c r="N29" s="68">
        <f t="shared" si="50"/>
        <v>1860</v>
      </c>
      <c r="O29" s="68">
        <f t="shared" si="51"/>
        <v>1240</v>
      </c>
      <c r="P29" s="69"/>
      <c r="Q29" s="70">
        <f t="shared" si="52"/>
        <v>31000</v>
      </c>
      <c r="R29" s="70">
        <f>VLOOKUP(B29,'Salary -Dec-2024 (Full)'!$B$6:$AE$383,17,0)</f>
        <v>31000</v>
      </c>
      <c r="S29" s="192">
        <f>VLOOKUP(B29,'Salary -Dec-2024 (Full)'!$B$6:$AE$383,18,0)</f>
        <v>0</v>
      </c>
      <c r="T29" s="192">
        <f>VLOOKUP(B29,'Salary -Dec-2024 (Full)'!$B$6:$AE$383,19,0)</f>
        <v>0</v>
      </c>
      <c r="U29" s="337">
        <f>VLOOKUP(B29,'Salary -Dec-2024 (Full)'!$B$6:$AE$383,20,0)</f>
        <v>0</v>
      </c>
      <c r="V29" s="71">
        <f t="shared" si="53"/>
        <v>31000</v>
      </c>
      <c r="W29" s="192">
        <f>VLOOKUP(B29,'Salary -Dec-2024 (Full)'!$B$6:$AE$383,22,0)</f>
        <v>0</v>
      </c>
      <c r="X29" s="192">
        <f>VLOOKUP(B29,'Salary -Dec-2024 (Full)'!$B$6:$AE$383,23,0)</f>
        <v>0</v>
      </c>
      <c r="Y29" s="337">
        <f>VLOOKUP(B29,'Salary -Dec-2024 (Full)'!$B$6:$AE$383,24,0)</f>
        <v>930</v>
      </c>
      <c r="Z29" s="192">
        <f>VLOOKUP(B29,'Salary -Dec-2024 (Full)'!$B$6:$AE$383,25,0)</f>
        <v>2160</v>
      </c>
      <c r="AA29" s="192">
        <f>VLOOKUP(B29,'Salary -Dec-2024 (Full)'!$B$6:$AE$383,26,0)</f>
        <v>0</v>
      </c>
      <c r="AB29" s="379">
        <f t="shared" si="54"/>
        <v>3090</v>
      </c>
      <c r="AC29" s="71">
        <f t="shared" si="55"/>
        <v>27910</v>
      </c>
      <c r="AD29" s="74" t="str">
        <f>VLOOKUP(B29,'Salary -Dec-2024 (Full)'!$B$6:$AE$286,29,0)</f>
        <v>Bank</v>
      </c>
      <c r="AE29" s="65" t="str">
        <f>VLOOKUP(B29,'Salary -Dec-2024 (Full)'!$B$6:$AE$286,30,0)</f>
        <v>180.158.0056161</v>
      </c>
      <c r="AH29" s="198"/>
    </row>
    <row r="30" spans="1:34" s="61" customFormat="1" ht="30" customHeight="1">
      <c r="A30" s="62">
        <v>6</v>
      </c>
      <c r="B30" s="63" t="s">
        <v>851</v>
      </c>
      <c r="C30" s="64" t="str">
        <f>VLOOKUP(B30,Attendance!$B$6:$D$385,2,0)</f>
        <v>Md Mazbahol Haque</v>
      </c>
      <c r="D30" s="115" t="str">
        <f>VLOOKUP(B30,'Salary -Dec-2024 (Full)'!$B$6:$D$286,3,0)</f>
        <v>Territory Manager</v>
      </c>
      <c r="E30" s="115" t="str">
        <f>VLOOKUP(B30,'Salary -Dec-2024 (Full)'!$B$6:$AE$286,4,0)</f>
        <v>Seed</v>
      </c>
      <c r="F30" s="266">
        <f>VLOOKUP(B30,'Salary -Dec-2024 (Full)'!$B$6:$AE$286,5,0)</f>
        <v>45139</v>
      </c>
      <c r="G30" s="66">
        <f>VLOOKUP(B30,'Salary -Dec-2024 (Full)'!$B$6:$AE$286,6,0)</f>
        <v>31</v>
      </c>
      <c r="H30" s="67">
        <f>VLOOKUP(B30,'Salary -Dec-2024 (Full)'!$B$6:$AE$286,7,0)</f>
        <v>0</v>
      </c>
      <c r="I30" s="66">
        <f t="shared" si="47"/>
        <v>31</v>
      </c>
      <c r="J30" s="67">
        <f t="shared" si="41"/>
        <v>1209.6774193548388</v>
      </c>
      <c r="K30" s="67">
        <f>VLOOKUP(B30,'Salary -Dec-2024 (Full)'!$B$6:$AE$286,10,0)</f>
        <v>37500</v>
      </c>
      <c r="L30" s="68">
        <f t="shared" si="48"/>
        <v>22500</v>
      </c>
      <c r="M30" s="68">
        <f t="shared" si="49"/>
        <v>11250</v>
      </c>
      <c r="N30" s="68">
        <f t="shared" si="50"/>
        <v>2250</v>
      </c>
      <c r="O30" s="68">
        <f t="shared" si="51"/>
        <v>1500</v>
      </c>
      <c r="P30" s="69"/>
      <c r="Q30" s="70">
        <f t="shared" si="52"/>
        <v>37500</v>
      </c>
      <c r="R30" s="70">
        <f>VLOOKUP(B30,'Salary -Dec-2024 (Full)'!$B$6:$AE$383,17,0)</f>
        <v>37500</v>
      </c>
      <c r="S30" s="192">
        <f>VLOOKUP(B30,'Salary -Dec-2024 (Full)'!$B$6:$AE$383,18,0)</f>
        <v>0</v>
      </c>
      <c r="T30" s="192">
        <f>VLOOKUP(B30,'Salary -Dec-2024 (Full)'!$B$6:$AE$383,19,0)</f>
        <v>0</v>
      </c>
      <c r="U30" s="337">
        <f>VLOOKUP(B30,'Salary -Dec-2024 (Full)'!$B$6:$AE$383,20,0)</f>
        <v>0</v>
      </c>
      <c r="V30" s="71">
        <f t="shared" si="53"/>
        <v>37500</v>
      </c>
      <c r="W30" s="192">
        <f>VLOOKUP(B30,'Salary -Dec-2024 (Full)'!$B$6:$AE$383,22,0)</f>
        <v>0</v>
      </c>
      <c r="X30" s="192">
        <f>VLOOKUP(B30,'Salary -Dec-2024 (Full)'!$B$6:$AE$383,23,0)</f>
        <v>0</v>
      </c>
      <c r="Y30" s="337">
        <f>VLOOKUP(B30,'Salary -Dec-2024 (Full)'!$B$6:$AE$383,24,0)</f>
        <v>1125</v>
      </c>
      <c r="Z30" s="192">
        <f>VLOOKUP(B30,'Salary -Dec-2024 (Full)'!$B$6:$AE$383,25,0)</f>
        <v>2160</v>
      </c>
      <c r="AA30" s="192">
        <f>VLOOKUP(B30,'Salary -Dec-2024 (Full)'!$B$6:$AE$383,26,0)</f>
        <v>0</v>
      </c>
      <c r="AB30" s="379">
        <f t="shared" si="54"/>
        <v>3285</v>
      </c>
      <c r="AC30" s="71">
        <f t="shared" si="55"/>
        <v>34215</v>
      </c>
      <c r="AD30" s="74" t="str">
        <f>VLOOKUP(B30,'Salary -Dec-2024 (Full)'!$B$6:$AE$286,29,0)</f>
        <v>Bank</v>
      </c>
      <c r="AE30" s="65" t="str">
        <f>VLOOKUP(B30,'Salary -Dec-2024 (Full)'!$B$6:$AE$286,30,0)</f>
        <v>273.103.0017265</v>
      </c>
      <c r="AH30" s="198"/>
    </row>
    <row r="31" spans="1:34" s="61" customFormat="1" ht="30" customHeight="1">
      <c r="A31" s="62">
        <v>7</v>
      </c>
      <c r="B31" s="63" t="s">
        <v>914</v>
      </c>
      <c r="C31" s="64" t="str">
        <f>VLOOKUP(B31,Attendance!$B$6:$D$385,2,0)</f>
        <v>Md Muradul Momin Murad</v>
      </c>
      <c r="D31" s="115" t="str">
        <f>VLOOKUP(B31,'Salary -Dec-2024 (Full)'!$B$6:$D$286,3,0)</f>
        <v>Sr. Territory Sales officer</v>
      </c>
      <c r="E31" s="115" t="str">
        <f>VLOOKUP(B31,'Salary -Dec-2024 (Full)'!$B$6:$AE$286,4,0)</f>
        <v>Seed</v>
      </c>
      <c r="F31" s="266">
        <f>VLOOKUP(B31,'Salary -Dec-2024 (Full)'!$B$6:$AE$286,5,0)</f>
        <v>45185</v>
      </c>
      <c r="G31" s="66">
        <f>VLOOKUP(B31,'Salary -Dec-2024 (Full)'!$B$6:$AE$286,6,0)</f>
        <v>31</v>
      </c>
      <c r="H31" s="67">
        <f>VLOOKUP(B31,'Salary -Dec-2024 (Full)'!$B$6:$AE$286,7,0)</f>
        <v>0</v>
      </c>
      <c r="I31" s="66">
        <f t="shared" si="47"/>
        <v>31</v>
      </c>
      <c r="J31" s="67">
        <f t="shared" si="41"/>
        <v>948.38709677419354</v>
      </c>
      <c r="K31" s="67">
        <f>VLOOKUP(B31,'Salary -Dec-2024 (Full)'!$B$6:$AE$286,10,0)</f>
        <v>29400</v>
      </c>
      <c r="L31" s="68">
        <f t="shared" si="48"/>
        <v>17640</v>
      </c>
      <c r="M31" s="68">
        <f t="shared" si="49"/>
        <v>8820</v>
      </c>
      <c r="N31" s="68">
        <f t="shared" si="50"/>
        <v>1764</v>
      </c>
      <c r="O31" s="68">
        <f t="shared" si="51"/>
        <v>1176</v>
      </c>
      <c r="P31" s="69"/>
      <c r="Q31" s="70">
        <f t="shared" si="52"/>
        <v>29400</v>
      </c>
      <c r="R31" s="70">
        <f>VLOOKUP(B31,'Salary -Dec-2024 (Full)'!$B$6:$AE$383,17,0)</f>
        <v>29400</v>
      </c>
      <c r="S31" s="192">
        <f>VLOOKUP(B31,'Salary -Dec-2024 (Full)'!$B$6:$AE$383,18,0)</f>
        <v>0</v>
      </c>
      <c r="T31" s="192">
        <f>VLOOKUP(B31,'Salary -Dec-2024 (Full)'!$B$6:$AE$383,19,0)</f>
        <v>0</v>
      </c>
      <c r="U31" s="337">
        <f>VLOOKUP(B31,'Salary -Dec-2024 (Full)'!$B$6:$AE$383,20,0)</f>
        <v>2800</v>
      </c>
      <c r="V31" s="71">
        <f t="shared" si="53"/>
        <v>32200</v>
      </c>
      <c r="W31" s="192">
        <f>VLOOKUP(B31,'Salary -Dec-2024 (Full)'!$B$6:$AE$383,22,0)</f>
        <v>0</v>
      </c>
      <c r="X31" s="192">
        <f>VLOOKUP(B31,'Salary -Dec-2024 (Full)'!$B$6:$AE$383,23,0)</f>
        <v>0</v>
      </c>
      <c r="Y31" s="337">
        <f>VLOOKUP(B31,'Salary -Dec-2024 (Full)'!$B$6:$AE$383,24,0)</f>
        <v>882</v>
      </c>
      <c r="Z31" s="192">
        <f>VLOOKUP(B31,'Salary -Dec-2024 (Full)'!$B$6:$AE$383,25,0)</f>
        <v>0</v>
      </c>
      <c r="AA31" s="192">
        <f>VLOOKUP(B31,'Salary -Dec-2024 (Full)'!$B$6:$AE$383,26,0)</f>
        <v>0</v>
      </c>
      <c r="AB31" s="379">
        <f t="shared" si="54"/>
        <v>882</v>
      </c>
      <c r="AC31" s="71">
        <f t="shared" si="55"/>
        <v>31318</v>
      </c>
      <c r="AD31" s="74" t="str">
        <f>VLOOKUP(B31,'Salary -Dec-2024 (Full)'!$B$6:$AE$286,29,0)</f>
        <v>Bank</v>
      </c>
      <c r="AE31" s="65" t="str">
        <f>VLOOKUP(B31,'Salary -Dec-2024 (Full)'!$B$6:$AE$286,30,0)</f>
        <v>175.151.0176230</v>
      </c>
      <c r="AH31" s="198"/>
    </row>
    <row r="32" spans="1:34" s="61" customFormat="1" ht="30" customHeight="1">
      <c r="A32" s="62">
        <v>8</v>
      </c>
      <c r="B32" s="63" t="s">
        <v>1159</v>
      </c>
      <c r="C32" s="64" t="str">
        <f>VLOOKUP(B32,Attendance!$B$6:$D$385,2,0)</f>
        <v>Md Mozahid</v>
      </c>
      <c r="D32" s="115" t="str">
        <f>VLOOKUP(B32,'Salary -Dec-2024 (Full)'!$B$6:$D$286,3,0)</f>
        <v>Territory Sales Officer</v>
      </c>
      <c r="E32" s="115" t="str">
        <f>VLOOKUP(B32,'Salary -Dec-2024 (Full)'!$B$6:$AE$286,4,0)</f>
        <v>Seed</v>
      </c>
      <c r="F32" s="266">
        <f>VLOOKUP(B32,'Salary -Dec-2024 (Full)'!$B$6:$AE$286,5,0)</f>
        <v>45335</v>
      </c>
      <c r="G32" s="66">
        <f>VLOOKUP(B32,'Salary -Dec-2024 (Full)'!$B$6:$AE$286,6,0)</f>
        <v>31</v>
      </c>
      <c r="H32" s="67">
        <f>VLOOKUP(B32,'Salary -Dec-2024 (Full)'!$B$6:$AE$286,7,0)</f>
        <v>0</v>
      </c>
      <c r="I32" s="66">
        <f t="shared" ref="I32:I33" si="56">G32-H32</f>
        <v>31</v>
      </c>
      <c r="J32" s="67">
        <f t="shared" si="41"/>
        <v>806.45161290322585</v>
      </c>
      <c r="K32" s="67">
        <f>VLOOKUP(B32,'Salary -Dec-2024 (Full)'!$B$6:$AE$286,10,0)</f>
        <v>25000</v>
      </c>
      <c r="L32" s="68">
        <f t="shared" ref="L32:L33" si="57">K32*60%</f>
        <v>15000</v>
      </c>
      <c r="M32" s="68">
        <f t="shared" ref="M32:M33" si="58">K32*30%</f>
        <v>7500</v>
      </c>
      <c r="N32" s="68">
        <f t="shared" ref="N32:N33" si="59">K32*6%</f>
        <v>1500</v>
      </c>
      <c r="O32" s="68">
        <f t="shared" ref="O32:O33" si="60">K32*4%</f>
        <v>1000</v>
      </c>
      <c r="P32" s="69"/>
      <c r="Q32" s="70">
        <f t="shared" ref="Q32:Q33" si="61">SUM(L32:P32)</f>
        <v>25000</v>
      </c>
      <c r="R32" s="70">
        <f>VLOOKUP(B32,'Salary -Dec-2024 (Full)'!$B$6:$AE$383,17,0)</f>
        <v>25000</v>
      </c>
      <c r="S32" s="192">
        <f>VLOOKUP(B32,'Salary -Dec-2024 (Full)'!$B$6:$AE$383,18,0)</f>
        <v>0</v>
      </c>
      <c r="T32" s="192">
        <f>VLOOKUP(B32,'Salary -Dec-2024 (Full)'!$B$6:$AE$383,19,0)</f>
        <v>0</v>
      </c>
      <c r="U32" s="337">
        <f>VLOOKUP(B32,'Salary -Dec-2024 (Full)'!$B$6:$AE$383,20,0)</f>
        <v>0</v>
      </c>
      <c r="V32" s="71">
        <f t="shared" ref="V32:V33" si="62">SUM(R32:U32)</f>
        <v>25000</v>
      </c>
      <c r="W32" s="192">
        <f>VLOOKUP(B32,'Salary -Dec-2024 (Full)'!$B$6:$AE$383,22,0)</f>
        <v>0</v>
      </c>
      <c r="X32" s="192">
        <f>VLOOKUP(B32,'Salary -Dec-2024 (Full)'!$B$6:$AE$383,23,0)</f>
        <v>0</v>
      </c>
      <c r="Y32" s="337">
        <f>VLOOKUP(B32,'Salary -Dec-2024 (Full)'!$B$6:$AE$383,24,0)</f>
        <v>0</v>
      </c>
      <c r="Z32" s="192">
        <f>VLOOKUP(B32,'Salary -Dec-2024 (Full)'!$B$6:$AE$383,25,0)</f>
        <v>0</v>
      </c>
      <c r="AA32" s="192">
        <f>VLOOKUP(B32,'Salary -Dec-2024 (Full)'!$B$6:$AE$383,26,0)</f>
        <v>0</v>
      </c>
      <c r="AB32" s="379">
        <f t="shared" ref="AB32:AB37" si="63">SUM(W32:AA32)</f>
        <v>0</v>
      </c>
      <c r="AC32" s="71">
        <f t="shared" ref="AC32:AC37" si="64">ROUND(V32-AB32,0)</f>
        <v>25000</v>
      </c>
      <c r="AD32" s="74" t="str">
        <f>VLOOKUP(B32,'Salary -Dec-2024 (Full)'!$B$6:$AE$286,29,0)</f>
        <v>Bank</v>
      </c>
      <c r="AE32" s="65" t="str">
        <f>VLOOKUP(B32,'Salary -Dec-2024 (Full)'!$B$6:$AE$286,30,0)</f>
        <v>231.158.0123996</v>
      </c>
      <c r="AH32" s="198"/>
    </row>
    <row r="33" spans="1:34" s="61" customFormat="1" ht="30" customHeight="1">
      <c r="A33" s="62">
        <v>9</v>
      </c>
      <c r="B33" s="63" t="s">
        <v>667</v>
      </c>
      <c r="C33" s="64" t="str">
        <f>VLOOKUP(B33,Attendance!$B$6:$D$385,2,0)</f>
        <v>Md. Nazim Uddin</v>
      </c>
      <c r="D33" s="115" t="str">
        <f>VLOOKUP(B33,'Salary -Dec-2024 (Full)'!$B$6:$D$286,3,0)</f>
        <v>Driver</v>
      </c>
      <c r="E33" s="115" t="str">
        <f>VLOOKUP(B33,'Salary -Dec-2024 (Full)'!$B$6:$AE$286,4,0)</f>
        <v>Transport</v>
      </c>
      <c r="F33" s="266">
        <f>VLOOKUP(B33,'Salary -Dec-2024 (Full)'!$B$6:$AE$286,5,0)</f>
        <v>45054</v>
      </c>
      <c r="G33" s="66">
        <f>VLOOKUP(B33,'Salary -Dec-2024 (Full)'!$B$6:$AE$286,6,0)</f>
        <v>31</v>
      </c>
      <c r="H33" s="67">
        <f>VLOOKUP(B33,'Salary -Dec-2024 (Full)'!$B$6:$AE$286,7,0)</f>
        <v>0</v>
      </c>
      <c r="I33" s="66">
        <f t="shared" si="56"/>
        <v>31</v>
      </c>
      <c r="J33" s="67">
        <f t="shared" si="41"/>
        <v>661.29032258064512</v>
      </c>
      <c r="K33" s="67">
        <f>VLOOKUP(B33,'Salary -Dec-2024 (Full)'!$B$6:$AE$286,10,0)</f>
        <v>20500</v>
      </c>
      <c r="L33" s="68">
        <f t="shared" si="57"/>
        <v>12300</v>
      </c>
      <c r="M33" s="68">
        <f t="shared" si="58"/>
        <v>6150</v>
      </c>
      <c r="N33" s="68">
        <f t="shared" si="59"/>
        <v>1230</v>
      </c>
      <c r="O33" s="68">
        <f t="shared" si="60"/>
        <v>820</v>
      </c>
      <c r="P33" s="69"/>
      <c r="Q33" s="70">
        <f t="shared" si="61"/>
        <v>20500</v>
      </c>
      <c r="R33" s="70">
        <f>VLOOKUP(B33,'Salary -Dec-2024 (Full)'!$B$6:$AE$383,17,0)</f>
        <v>20500</v>
      </c>
      <c r="S33" s="192">
        <f>VLOOKUP(B33,'Salary -Dec-2024 (Full)'!$B$6:$AE$383,18,0)</f>
        <v>0</v>
      </c>
      <c r="T33" s="192">
        <f>VLOOKUP(B33,'Salary -Dec-2024 (Full)'!$B$6:$AE$383,19,0)</f>
        <v>0</v>
      </c>
      <c r="U33" s="337">
        <f>VLOOKUP(B33,'Salary -Dec-2024 (Full)'!$B$6:$AE$383,20,0)</f>
        <v>0</v>
      </c>
      <c r="V33" s="71">
        <f t="shared" si="62"/>
        <v>20500</v>
      </c>
      <c r="W33" s="192">
        <f>VLOOKUP(B33,'Salary -Dec-2024 (Full)'!$B$6:$AE$383,22,0)</f>
        <v>0</v>
      </c>
      <c r="X33" s="192">
        <f>VLOOKUP(B33,'Salary -Dec-2024 (Full)'!$B$6:$AE$383,23,0)</f>
        <v>0</v>
      </c>
      <c r="Y33" s="337">
        <f>VLOOKUP(B33,'Salary -Dec-2024 (Full)'!$B$6:$AE$383,24,0)</f>
        <v>615</v>
      </c>
      <c r="Z33" s="192">
        <f>VLOOKUP(B33,'Salary -Dec-2024 (Full)'!$B$6:$AE$383,25,0)</f>
        <v>0</v>
      </c>
      <c r="AA33" s="192">
        <f>VLOOKUP(B33,'Salary -Dec-2024 (Full)'!$B$6:$AE$383,26,0)</f>
        <v>0</v>
      </c>
      <c r="AB33" s="379">
        <f t="shared" si="63"/>
        <v>615</v>
      </c>
      <c r="AC33" s="71">
        <f t="shared" si="64"/>
        <v>19885</v>
      </c>
      <c r="AD33" s="74" t="str">
        <f>VLOOKUP(B33,'Salary -Dec-2024 (Full)'!$B$6:$AE$286,29,0)</f>
        <v>Bank</v>
      </c>
      <c r="AE33" s="65" t="str">
        <f>VLOOKUP(B33,'Salary -Dec-2024 (Full)'!$B$6:$AE$286,30,0)</f>
        <v>103.103.1355576</v>
      </c>
      <c r="AH33" s="198"/>
    </row>
    <row r="34" spans="1:34" s="61" customFormat="1" ht="30" customHeight="1">
      <c r="A34" s="62">
        <v>10</v>
      </c>
      <c r="B34" s="63" t="s">
        <v>1283</v>
      </c>
      <c r="C34" s="64" t="str">
        <f>VLOOKUP(B34,Attendance!$B$6:$D$385,2,0)</f>
        <v>Russel Ahmed</v>
      </c>
      <c r="D34" s="115" t="str">
        <f>VLOOKUP(B34,'Salary -Dec-2024 (Full)'!$B$6:$D$286,3,0)</f>
        <v>Sr. Territory Sales Officer</v>
      </c>
      <c r="E34" s="115" t="str">
        <f>VLOOKUP(B34,'Salary -Dec-2024 (Full)'!$B$6:$AE$286,4,0)</f>
        <v>Seed</v>
      </c>
      <c r="F34" s="266">
        <f>VLOOKUP(B34,'Salary -Dec-2024 (Full)'!$B$6:$AE$286,5,0)</f>
        <v>45397</v>
      </c>
      <c r="G34" s="66">
        <f>VLOOKUP(B34,'Salary -Dec-2024 (Full)'!$B$6:$AE$286,6,0)</f>
        <v>31</v>
      </c>
      <c r="H34" s="67">
        <f>VLOOKUP(B34,'Salary -Dec-2024 (Full)'!$B$6:$AE$286,7,0)</f>
        <v>0</v>
      </c>
      <c r="I34" s="66">
        <f t="shared" ref="I34:I37" si="65">G34-H34</f>
        <v>31</v>
      </c>
      <c r="J34" s="67">
        <f t="shared" ref="J34:J37" si="66">Q34/G34</f>
        <v>903.22580645161293</v>
      </c>
      <c r="K34" s="67">
        <f>VLOOKUP(B34,'Salary -Dec-2024 (Full)'!$B$6:$AE$286,10,0)</f>
        <v>28000</v>
      </c>
      <c r="L34" s="68">
        <f t="shared" ref="L34:L37" si="67">K34*60%</f>
        <v>16800</v>
      </c>
      <c r="M34" s="68">
        <f t="shared" ref="M34:M37" si="68">K34*30%</f>
        <v>8400</v>
      </c>
      <c r="N34" s="68">
        <f t="shared" ref="N34:N37" si="69">K34*6%</f>
        <v>1680</v>
      </c>
      <c r="O34" s="68">
        <f t="shared" ref="O34:O37" si="70">K34*4%</f>
        <v>1120</v>
      </c>
      <c r="P34" s="69"/>
      <c r="Q34" s="70">
        <f t="shared" ref="Q34:Q37" si="71">SUM(L34:P34)</f>
        <v>28000</v>
      </c>
      <c r="R34" s="70">
        <f>VLOOKUP(B34,'Salary -Dec-2024 (Full)'!$B$6:$AE$383,17,0)</f>
        <v>28000</v>
      </c>
      <c r="S34" s="192">
        <f>VLOOKUP(B34,'Salary -Dec-2024 (Full)'!$B$6:$AE$383,18,0)</f>
        <v>0</v>
      </c>
      <c r="T34" s="192">
        <f>VLOOKUP(B34,'Salary -Dec-2024 (Full)'!$B$6:$AE$383,19,0)</f>
        <v>0</v>
      </c>
      <c r="U34" s="337">
        <f>VLOOKUP(B34,'Salary -Dec-2024 (Full)'!$B$6:$AE$383,20,0)</f>
        <v>0</v>
      </c>
      <c r="V34" s="71">
        <f t="shared" ref="V34:V37" si="72">SUM(R34:U34)</f>
        <v>28000</v>
      </c>
      <c r="W34" s="192">
        <f>VLOOKUP(B34,'Salary -Dec-2024 (Full)'!$B$6:$AE$383,22,0)</f>
        <v>0</v>
      </c>
      <c r="X34" s="192">
        <f>VLOOKUP(B34,'Salary -Dec-2024 (Full)'!$B$6:$AE$383,23,0)</f>
        <v>0</v>
      </c>
      <c r="Y34" s="337">
        <f>VLOOKUP(B34,'Salary -Dec-2024 (Full)'!$B$6:$AE$383,24,0)</f>
        <v>0</v>
      </c>
      <c r="Z34" s="192">
        <f>VLOOKUP(B34,'Salary -Dec-2024 (Full)'!$B$6:$AE$383,25,0)</f>
        <v>0</v>
      </c>
      <c r="AA34" s="192">
        <f>VLOOKUP(B34,'Salary -Dec-2024 (Full)'!$B$6:$AE$383,26,0)</f>
        <v>0</v>
      </c>
      <c r="AB34" s="379">
        <f t="shared" si="63"/>
        <v>0</v>
      </c>
      <c r="AC34" s="71">
        <f t="shared" si="64"/>
        <v>28000</v>
      </c>
      <c r="AD34" s="74" t="str">
        <f>VLOOKUP(B34,'Salary -Dec-2024 (Full)'!$B$6:$AE$286,29,0)</f>
        <v>Bank</v>
      </c>
      <c r="AE34" s="65" t="str">
        <f>VLOOKUP(B34,'Salary -Dec-2024 (Full)'!$B$6:$AE$286,30,0)</f>
        <v>162.103.0244468</v>
      </c>
      <c r="AH34" s="198"/>
    </row>
    <row r="35" spans="1:34" s="61" customFormat="1" ht="30" customHeight="1">
      <c r="A35" s="62">
        <v>11</v>
      </c>
      <c r="B35" s="63" t="s">
        <v>1313</v>
      </c>
      <c r="C35" s="64" t="str">
        <f>VLOOKUP(B35,Attendance!$B$6:$D$385,2,0)</f>
        <v>Nazmul Haque</v>
      </c>
      <c r="D35" s="115" t="str">
        <f>VLOOKUP(B35,'Salary -Dec-2024 (Full)'!$B$6:$D$286,3,0)</f>
        <v>Sr. Territory Sales Officer</v>
      </c>
      <c r="E35" s="115" t="str">
        <f>VLOOKUP(B35,'Salary -Dec-2024 (Full)'!$B$6:$AE$286,4,0)</f>
        <v>Seed</v>
      </c>
      <c r="F35" s="266">
        <f>VLOOKUP(B35,'Salary -Dec-2024 (Full)'!$B$6:$AE$286,5,0)</f>
        <v>45398</v>
      </c>
      <c r="G35" s="66">
        <f>VLOOKUP(B35,'Salary -Dec-2024 (Full)'!$B$6:$AE$286,6,0)</f>
        <v>31</v>
      </c>
      <c r="H35" s="67">
        <f>VLOOKUP(B35,'Salary -Dec-2024 (Full)'!$B$6:$AE$286,7,0)</f>
        <v>0</v>
      </c>
      <c r="I35" s="66">
        <f t="shared" si="65"/>
        <v>31</v>
      </c>
      <c r="J35" s="67">
        <f t="shared" si="66"/>
        <v>935.48387096774195</v>
      </c>
      <c r="K35" s="67">
        <f>VLOOKUP(B35,'Salary -Dec-2024 (Full)'!$B$6:$AE$286,10,0)</f>
        <v>29000</v>
      </c>
      <c r="L35" s="68">
        <f t="shared" si="67"/>
        <v>17400</v>
      </c>
      <c r="M35" s="68">
        <f t="shared" si="68"/>
        <v>8700</v>
      </c>
      <c r="N35" s="68">
        <f t="shared" si="69"/>
        <v>1740</v>
      </c>
      <c r="O35" s="68">
        <f t="shared" si="70"/>
        <v>1160</v>
      </c>
      <c r="P35" s="69"/>
      <c r="Q35" s="70">
        <f t="shared" si="71"/>
        <v>29000</v>
      </c>
      <c r="R35" s="70">
        <f>VLOOKUP(B35,'Salary -Dec-2024 (Full)'!$B$6:$AE$383,17,0)</f>
        <v>29000</v>
      </c>
      <c r="S35" s="192">
        <f>VLOOKUP(B35,'Salary -Dec-2024 (Full)'!$B$6:$AE$383,18,0)</f>
        <v>0</v>
      </c>
      <c r="T35" s="192">
        <f>VLOOKUP(B35,'Salary -Dec-2024 (Full)'!$B$6:$AE$383,19,0)</f>
        <v>0</v>
      </c>
      <c r="U35" s="337">
        <f>VLOOKUP(B35,'Salary -Dec-2024 (Full)'!$B$6:$AE$383,20,0)</f>
        <v>0</v>
      </c>
      <c r="V35" s="71">
        <f t="shared" si="72"/>
        <v>29000</v>
      </c>
      <c r="W35" s="192">
        <f>VLOOKUP(B35,'Salary -Dec-2024 (Full)'!$B$6:$AE$383,22,0)</f>
        <v>0</v>
      </c>
      <c r="X35" s="192">
        <f>VLOOKUP(B35,'Salary -Dec-2024 (Full)'!$B$6:$AE$383,23,0)</f>
        <v>0</v>
      </c>
      <c r="Y35" s="337">
        <f>VLOOKUP(B35,'Salary -Dec-2024 (Full)'!$B$6:$AE$383,24,0)</f>
        <v>0</v>
      </c>
      <c r="Z35" s="192">
        <f>VLOOKUP(B35,'Salary -Dec-2024 (Full)'!$B$6:$AE$383,25,0)</f>
        <v>2160</v>
      </c>
      <c r="AA35" s="192">
        <f>VLOOKUP(B35,'Salary -Dec-2024 (Full)'!$B$6:$AE$383,26,0)</f>
        <v>0</v>
      </c>
      <c r="AB35" s="379">
        <f t="shared" si="63"/>
        <v>2160</v>
      </c>
      <c r="AC35" s="71">
        <f t="shared" si="64"/>
        <v>26840</v>
      </c>
      <c r="AD35" s="74" t="str">
        <f>VLOOKUP(B35,'Salary -Dec-2024 (Full)'!$B$6:$AE$286,29,0)</f>
        <v>Bank</v>
      </c>
      <c r="AE35" s="65" t="str">
        <f>VLOOKUP(B35,'Salary -Dec-2024 (Full)'!$B$6:$AE$286,30,0)</f>
        <v>266.151.0076137</v>
      </c>
      <c r="AH35" s="198"/>
    </row>
    <row r="36" spans="1:34" s="61" customFormat="1" ht="30" customHeight="1">
      <c r="A36" s="62">
        <v>12</v>
      </c>
      <c r="B36" s="63" t="s">
        <v>1369</v>
      </c>
      <c r="C36" s="64" t="str">
        <f>VLOOKUP(B36,Attendance!$B$6:$D$385,2,0)</f>
        <v>Md Forhad Hosen</v>
      </c>
      <c r="D36" s="115" t="str">
        <f>VLOOKUP(B36,'Salary -Dec-2024 (Full)'!$B$6:$D$286,3,0)</f>
        <v>Sr. Territory Sales Officer</v>
      </c>
      <c r="E36" s="115" t="str">
        <f>VLOOKUP(B36,'Salary -Dec-2024 (Full)'!$B$6:$AE$286,4,0)</f>
        <v>Seed</v>
      </c>
      <c r="F36" s="266">
        <f>VLOOKUP(B36,'Salary -Dec-2024 (Full)'!$B$6:$AE$286,5,0)</f>
        <v>45416</v>
      </c>
      <c r="G36" s="66">
        <f>VLOOKUP(B36,'Salary -Dec-2024 (Full)'!$B$6:$AE$286,6,0)</f>
        <v>31</v>
      </c>
      <c r="H36" s="67">
        <f>VLOOKUP(B36,'Salary -Dec-2024 (Full)'!$B$6:$AE$286,7,0)</f>
        <v>0</v>
      </c>
      <c r="I36" s="66">
        <f t="shared" si="65"/>
        <v>31</v>
      </c>
      <c r="J36" s="67">
        <f t="shared" si="66"/>
        <v>903.22580645161293</v>
      </c>
      <c r="K36" s="67">
        <f>VLOOKUP(B36,'Salary -Dec-2024 (Full)'!$B$6:$AE$286,10,0)</f>
        <v>28000</v>
      </c>
      <c r="L36" s="68">
        <f t="shared" si="67"/>
        <v>16800</v>
      </c>
      <c r="M36" s="68">
        <f t="shared" si="68"/>
        <v>8400</v>
      </c>
      <c r="N36" s="68">
        <f t="shared" si="69"/>
        <v>1680</v>
      </c>
      <c r="O36" s="68">
        <f t="shared" si="70"/>
        <v>1120</v>
      </c>
      <c r="P36" s="69"/>
      <c r="Q36" s="70">
        <f t="shared" si="71"/>
        <v>28000</v>
      </c>
      <c r="R36" s="70">
        <f>VLOOKUP(B36,'Salary -Dec-2024 (Full)'!$B$6:$AE$383,17,0)</f>
        <v>28000</v>
      </c>
      <c r="S36" s="192">
        <f>VLOOKUP(B36,'Salary -Dec-2024 (Full)'!$B$6:$AE$383,18,0)</f>
        <v>0</v>
      </c>
      <c r="T36" s="192">
        <f>VLOOKUP(B36,'Salary -Dec-2024 (Full)'!$B$6:$AE$383,19,0)</f>
        <v>0</v>
      </c>
      <c r="U36" s="337">
        <f>VLOOKUP(B36,'Salary -Dec-2024 (Full)'!$B$6:$AE$383,20,0)</f>
        <v>0</v>
      </c>
      <c r="V36" s="71">
        <f t="shared" si="72"/>
        <v>28000</v>
      </c>
      <c r="W36" s="192">
        <f>VLOOKUP(B36,'Salary -Dec-2024 (Full)'!$B$6:$AE$383,22,0)</f>
        <v>0</v>
      </c>
      <c r="X36" s="192">
        <f>VLOOKUP(B36,'Salary -Dec-2024 (Full)'!$B$6:$AE$383,23,0)</f>
        <v>0</v>
      </c>
      <c r="Y36" s="337">
        <f>VLOOKUP(B36,'Salary -Dec-2024 (Full)'!$B$6:$AE$383,24,0)</f>
        <v>0</v>
      </c>
      <c r="Z36" s="192">
        <f>VLOOKUP(B36,'Salary -Dec-2024 (Full)'!$B$6:$AE$383,25,0)</f>
        <v>2175</v>
      </c>
      <c r="AA36" s="192">
        <f>VLOOKUP(B36,'Salary -Dec-2024 (Full)'!$B$6:$AE$383,26,0)</f>
        <v>0</v>
      </c>
      <c r="AB36" s="379">
        <f t="shared" si="63"/>
        <v>2175</v>
      </c>
      <c r="AC36" s="71">
        <f t="shared" si="64"/>
        <v>25825</v>
      </c>
      <c r="AD36" s="74" t="str">
        <f>VLOOKUP(B36,'Salary -Dec-2024 (Full)'!$B$6:$AE$286,29,0)</f>
        <v>Bank</v>
      </c>
      <c r="AE36" s="65" t="str">
        <f>VLOOKUP(B36,'Salary -Dec-2024 (Full)'!$B$6:$AE$286,30,0)</f>
        <v>125.158.0143392</v>
      </c>
      <c r="AH36" s="198"/>
    </row>
    <row r="37" spans="1:34" s="61" customFormat="1" ht="30" customHeight="1">
      <c r="A37" s="62">
        <v>13</v>
      </c>
      <c r="B37" s="63" t="s">
        <v>1382</v>
      </c>
      <c r="C37" s="64" t="str">
        <f>VLOOKUP(B37,Attendance!$B$6:$D$385,2,0)</f>
        <v>Jamal Hossain</v>
      </c>
      <c r="D37" s="115" t="str">
        <f>VLOOKUP(B37,'Salary -Dec-2024 (Full)'!$B$6:$D$286,3,0)</f>
        <v>Manager</v>
      </c>
      <c r="E37" s="115" t="str">
        <f>VLOOKUP(B37,'Salary -Dec-2024 (Full)'!$B$6:$AE$286,4,0)</f>
        <v>Seed</v>
      </c>
      <c r="F37" s="266">
        <f>VLOOKUP(B37,'Salary -Dec-2024 (Full)'!$B$6:$AE$286,5,0)</f>
        <v>45446</v>
      </c>
      <c r="G37" s="66">
        <f>VLOOKUP(B37,'Salary -Dec-2024 (Full)'!$B$6:$AE$286,6,0)</f>
        <v>31</v>
      </c>
      <c r="H37" s="67">
        <f>VLOOKUP(B37,'Salary -Dec-2024 (Full)'!$B$6:$AE$286,7,0)</f>
        <v>0</v>
      </c>
      <c r="I37" s="66">
        <f t="shared" si="65"/>
        <v>31</v>
      </c>
      <c r="J37" s="67">
        <f t="shared" si="66"/>
        <v>3225.8064516129034</v>
      </c>
      <c r="K37" s="67">
        <f>VLOOKUP(B37,'Salary -Dec-2024 (Full)'!$B$6:$AE$286,10,0)</f>
        <v>100000</v>
      </c>
      <c r="L37" s="68">
        <f t="shared" si="67"/>
        <v>60000</v>
      </c>
      <c r="M37" s="68">
        <f t="shared" si="68"/>
        <v>30000</v>
      </c>
      <c r="N37" s="68">
        <f t="shared" si="69"/>
        <v>6000</v>
      </c>
      <c r="O37" s="68">
        <f t="shared" si="70"/>
        <v>4000</v>
      </c>
      <c r="P37" s="69"/>
      <c r="Q37" s="70">
        <f t="shared" si="71"/>
        <v>100000</v>
      </c>
      <c r="R37" s="70">
        <f>VLOOKUP(B37,'Salary -Dec-2024 (Full)'!$B$6:$AE$383,17,0)</f>
        <v>100000</v>
      </c>
      <c r="S37" s="192">
        <f>VLOOKUP(B37,'Salary -Dec-2024 (Full)'!$B$6:$AE$383,18,0)</f>
        <v>0</v>
      </c>
      <c r="T37" s="192">
        <f>VLOOKUP(B37,'Salary -Dec-2024 (Full)'!$B$6:$AE$383,19,0)</f>
        <v>0</v>
      </c>
      <c r="U37" s="337">
        <f>VLOOKUP(B37,'Salary -Dec-2024 (Full)'!$B$6:$AE$383,20,0)</f>
        <v>0</v>
      </c>
      <c r="V37" s="71">
        <f t="shared" si="72"/>
        <v>100000</v>
      </c>
      <c r="W37" s="192">
        <f>VLOOKUP(B37,'Salary -Dec-2024 (Full)'!$B$6:$AE$383,22,0)</f>
        <v>1925</v>
      </c>
      <c r="X37" s="192">
        <f>VLOOKUP(B37,'Salary -Dec-2024 (Full)'!$B$6:$AE$383,23,0)</f>
        <v>0</v>
      </c>
      <c r="Y37" s="337">
        <f>VLOOKUP(B37,'Salary -Dec-2024 (Full)'!$B$6:$AE$383,24,0)</f>
        <v>0</v>
      </c>
      <c r="Z37" s="192">
        <f>VLOOKUP(B37,'Salary -Dec-2024 (Full)'!$B$6:$AE$383,25,0)</f>
        <v>0</v>
      </c>
      <c r="AA37" s="192">
        <f>VLOOKUP(B37,'Salary -Dec-2024 (Full)'!$B$6:$AE$383,26,0)</f>
        <v>0</v>
      </c>
      <c r="AB37" s="379">
        <f t="shared" si="63"/>
        <v>1925</v>
      </c>
      <c r="AC37" s="71">
        <f t="shared" si="64"/>
        <v>98075</v>
      </c>
      <c r="AD37" s="74" t="str">
        <f>VLOOKUP(B37,'Salary -Dec-2024 (Full)'!$B$6:$AE$286,29,0)</f>
        <v>Bank</v>
      </c>
      <c r="AE37" s="65" t="str">
        <f>VLOOKUP(B37,'Salary -Dec-2024 (Full)'!$B$6:$AE$286,30,0)</f>
        <v>115.103.0145306</v>
      </c>
      <c r="AH37" s="198"/>
    </row>
    <row r="38" spans="1:34" s="61" customFormat="1" ht="30" customHeight="1">
      <c r="A38" s="62">
        <v>14</v>
      </c>
      <c r="B38" s="63" t="s">
        <v>1614</v>
      </c>
      <c r="C38" s="64" t="str">
        <f>VLOOKUP(B38,Attendance!$B$6:$D$385,2,0)</f>
        <v>Md Alal Hossain Mithu</v>
      </c>
      <c r="D38" s="115" t="str">
        <f>VLOOKUP(B38,'Salary -Dec-2024 (Full)'!$B$6:$D$286,3,0)</f>
        <v>Territory Sales Officer</v>
      </c>
      <c r="E38" s="115" t="str">
        <f>VLOOKUP(B38,'Salary -Dec-2024 (Full)'!$B$6:$AE$286,4,0)</f>
        <v>Seed</v>
      </c>
      <c r="F38" s="266">
        <f>VLOOKUP(B38,'Salary -Dec-2024 (Full)'!$B$6:$AE$286,5,0)</f>
        <v>45514</v>
      </c>
      <c r="G38" s="66">
        <f>VLOOKUP(B38,'Salary -Dec-2024 (Full)'!$B$6:$AE$286,6,0)</f>
        <v>31</v>
      </c>
      <c r="H38" s="67">
        <f>VLOOKUP(B38,'Salary -Dec-2024 (Full)'!$B$6:$AE$286,7,0)</f>
        <v>0</v>
      </c>
      <c r="I38" s="66">
        <f t="shared" ref="I38" si="73">G38-H38</f>
        <v>31</v>
      </c>
      <c r="J38" s="67">
        <f t="shared" ref="J38" si="74">Q38/G38</f>
        <v>741.93548387096769</v>
      </c>
      <c r="K38" s="67">
        <f>VLOOKUP(B38,'Salary -Dec-2024 (Full)'!$B$6:$AE$286,10,0)</f>
        <v>23000</v>
      </c>
      <c r="L38" s="68">
        <f t="shared" ref="L38" si="75">K38*60%</f>
        <v>13800</v>
      </c>
      <c r="M38" s="68">
        <f t="shared" ref="M38" si="76">K38*30%</f>
        <v>6900</v>
      </c>
      <c r="N38" s="68">
        <f t="shared" ref="N38" si="77">K38*6%</f>
        <v>1380</v>
      </c>
      <c r="O38" s="68">
        <f t="shared" ref="O38" si="78">K38*4%</f>
        <v>920</v>
      </c>
      <c r="P38" s="69"/>
      <c r="Q38" s="70">
        <f t="shared" ref="Q38" si="79">SUM(L38:P38)</f>
        <v>23000</v>
      </c>
      <c r="R38" s="70">
        <f>VLOOKUP(B38,'Salary -Dec-2024 (Full)'!$B$6:$AE$383,17,0)</f>
        <v>23000</v>
      </c>
      <c r="S38" s="192">
        <f>VLOOKUP(B38,'Salary -Dec-2024 (Full)'!$B$6:$AE$383,18,0)</f>
        <v>0</v>
      </c>
      <c r="T38" s="192">
        <f>VLOOKUP(B38,'Salary -Dec-2024 (Full)'!$B$6:$AE$383,19,0)</f>
        <v>0</v>
      </c>
      <c r="U38" s="337">
        <f>VLOOKUP(B38,'Salary -Dec-2024 (Full)'!$B$6:$AE$383,20,0)</f>
        <v>0</v>
      </c>
      <c r="V38" s="71">
        <f t="shared" ref="V38" si="80">SUM(R38:U38)</f>
        <v>23000</v>
      </c>
      <c r="W38" s="192">
        <f>VLOOKUP(B38,'Salary -Dec-2024 (Full)'!$B$6:$AE$383,22,0)</f>
        <v>0</v>
      </c>
      <c r="X38" s="192">
        <f>VLOOKUP(B38,'Salary -Dec-2024 (Full)'!$B$6:$AE$383,23,0)</f>
        <v>0</v>
      </c>
      <c r="Y38" s="337">
        <f>VLOOKUP(B38,'Salary -Dec-2024 (Full)'!$B$6:$AE$383,24,0)</f>
        <v>0</v>
      </c>
      <c r="Z38" s="192">
        <f>VLOOKUP(B38,'Salary -Dec-2024 (Full)'!$B$6:$AE$383,25,0)</f>
        <v>2160</v>
      </c>
      <c r="AA38" s="192">
        <f>VLOOKUP(B38,'Salary -Dec-2024 (Full)'!$B$6:$AE$383,26,0)</f>
        <v>0</v>
      </c>
      <c r="AB38" s="379">
        <f t="shared" ref="AB38" si="81">SUM(W38:AA38)</f>
        <v>2160</v>
      </c>
      <c r="AC38" s="71">
        <f t="shared" ref="AC38" si="82">ROUND(V38-AB38,0)</f>
        <v>20840</v>
      </c>
      <c r="AD38" s="74" t="str">
        <f>VLOOKUP(B38,'Salary -Dec-2024 (Full)'!$B$6:$AE$286,29,0)</f>
        <v>Bank</v>
      </c>
      <c r="AE38" s="65" t="str">
        <f>VLOOKUP(B38,'Salary -Dec-2024 (Full)'!$B$6:$AE$286,30,0)</f>
        <v>273.158.0020384</v>
      </c>
      <c r="AH38" s="198"/>
    </row>
    <row r="39" spans="1:34" s="61" customFormat="1" ht="30" customHeight="1">
      <c r="A39" s="62">
        <v>15</v>
      </c>
      <c r="B39" s="392" t="s">
        <v>1625</v>
      </c>
      <c r="C39" s="64" t="str">
        <f>VLOOKUP(B39,Attendance!$B$6:$D$385,2,0)</f>
        <v>Md Ziaur Rahman</v>
      </c>
      <c r="D39" s="115" t="str">
        <f>VLOOKUP(B39,'Salary -Dec-2024 (Full)'!$B$6:$D$286,3,0)</f>
        <v>Deputy Manager</v>
      </c>
      <c r="E39" s="115" t="str">
        <f>VLOOKUP(B39,'Salary -Dec-2024 (Full)'!$B$6:$AE$286,4,0)</f>
        <v>Seed</v>
      </c>
      <c r="F39" s="266">
        <f>VLOOKUP(B39,'Salary -Dec-2024 (Full)'!$B$6:$AE$286,5,0)</f>
        <v>45468</v>
      </c>
      <c r="G39" s="66">
        <f>VLOOKUP(B39,'Salary -Dec-2024 (Full)'!$B$6:$AE$286,6,0)</f>
        <v>31</v>
      </c>
      <c r="H39" s="67">
        <f>VLOOKUP(B39,'Salary -Dec-2024 (Full)'!$B$6:$AE$286,7,0)</f>
        <v>0</v>
      </c>
      <c r="I39" s="66">
        <f t="shared" ref="I39:I41" si="83">G39-H39</f>
        <v>31</v>
      </c>
      <c r="J39" s="67">
        <f t="shared" ref="J39:J41" si="84">Q39/G39</f>
        <v>1451.6129032258063</v>
      </c>
      <c r="K39" s="67">
        <f>VLOOKUP(B39,'Salary -Dec-2024 (Full)'!$B$6:$AE$286,10,0)</f>
        <v>45000</v>
      </c>
      <c r="L39" s="68">
        <f t="shared" ref="L39:L41" si="85">K39*60%</f>
        <v>27000</v>
      </c>
      <c r="M39" s="68">
        <f t="shared" ref="M39:M41" si="86">K39*30%</f>
        <v>13500</v>
      </c>
      <c r="N39" s="68">
        <f t="shared" ref="N39:N41" si="87">K39*6%</f>
        <v>2700</v>
      </c>
      <c r="O39" s="68">
        <f t="shared" ref="O39:O41" si="88">K39*4%</f>
        <v>1800</v>
      </c>
      <c r="P39" s="69"/>
      <c r="Q39" s="70">
        <f t="shared" ref="Q39:Q41" si="89">SUM(L39:P39)</f>
        <v>45000</v>
      </c>
      <c r="R39" s="70">
        <f>VLOOKUP(B39,'Salary -Dec-2024 (Full)'!$B$6:$AE$383,17,0)</f>
        <v>45000</v>
      </c>
      <c r="S39" s="192">
        <f>VLOOKUP(B39,'Salary -Dec-2024 (Full)'!$B$6:$AE$383,18,0)</f>
        <v>0</v>
      </c>
      <c r="T39" s="192">
        <f>VLOOKUP(B39,'Salary -Dec-2024 (Full)'!$B$6:$AE$383,19,0)</f>
        <v>0</v>
      </c>
      <c r="U39" s="337">
        <f>VLOOKUP(B39,'Salary -Dec-2024 (Full)'!$B$6:$AE$383,20,0)</f>
        <v>0</v>
      </c>
      <c r="V39" s="71">
        <f t="shared" ref="V39:V41" si="90">SUM(R39:U39)</f>
        <v>45000</v>
      </c>
      <c r="W39" s="192">
        <f>VLOOKUP(B39,'Salary -Dec-2024 (Full)'!$B$6:$AE$383,22,0)</f>
        <v>500</v>
      </c>
      <c r="X39" s="192">
        <f>VLOOKUP(B39,'Salary -Dec-2024 (Full)'!$B$6:$AE$383,23,0)</f>
        <v>0</v>
      </c>
      <c r="Y39" s="337">
        <f>VLOOKUP(B39,'Salary -Dec-2024 (Full)'!$B$6:$AE$383,24,0)</f>
        <v>0</v>
      </c>
      <c r="Z39" s="192">
        <f>VLOOKUP(B39,'Salary -Dec-2024 (Full)'!$B$6:$AE$383,25,0)</f>
        <v>0</v>
      </c>
      <c r="AA39" s="192">
        <f>VLOOKUP(B39,'Salary -Dec-2024 (Full)'!$B$6:$AE$383,26,0)</f>
        <v>0</v>
      </c>
      <c r="AB39" s="379">
        <f t="shared" ref="AB39:AB41" si="91">SUM(W39:AA39)</f>
        <v>500</v>
      </c>
      <c r="AC39" s="71">
        <f t="shared" ref="AC39:AC41" si="92">ROUND(V39-AB39,0)</f>
        <v>44500</v>
      </c>
      <c r="AD39" s="74" t="str">
        <f>VLOOKUP(B39,'Salary -Dec-2024 (Full)'!$B$6:$AE$286,29,0)</f>
        <v>Bank</v>
      </c>
      <c r="AE39" s="65" t="str">
        <f>VLOOKUP(B39,'Salary -Dec-2024 (Full)'!$B$6:$AE$286,30,0)</f>
        <v>125.157.0089459</v>
      </c>
      <c r="AH39" s="198"/>
    </row>
    <row r="40" spans="1:34" s="61" customFormat="1" ht="30" customHeight="1">
      <c r="A40" s="62">
        <v>16</v>
      </c>
      <c r="B40" s="392" t="s">
        <v>1626</v>
      </c>
      <c r="C40" s="64" t="str">
        <f>VLOOKUP(B40,Attendance!$B$6:$D$385,2,0)</f>
        <v>Md Arif Hosen</v>
      </c>
      <c r="D40" s="115" t="str">
        <f>VLOOKUP(B40,'Salary -Dec-2024 (Full)'!$B$6:$D$286,3,0)</f>
        <v>Territory Sales Officer</v>
      </c>
      <c r="E40" s="115" t="str">
        <f>VLOOKUP(B40,'Salary -Dec-2024 (Full)'!$B$6:$AE$286,4,0)</f>
        <v>Seed</v>
      </c>
      <c r="F40" s="266">
        <f>VLOOKUP(B40,'Salary -Dec-2024 (Full)'!$B$6:$AE$286,5,0)</f>
        <v>45536</v>
      </c>
      <c r="G40" s="66">
        <f>VLOOKUP(B40,'Salary -Dec-2024 (Full)'!$B$6:$AE$286,6,0)</f>
        <v>31</v>
      </c>
      <c r="H40" s="67">
        <f>VLOOKUP(B40,'Salary -Dec-2024 (Full)'!$B$6:$AE$286,7,0)</f>
        <v>0</v>
      </c>
      <c r="I40" s="66">
        <f t="shared" si="83"/>
        <v>31</v>
      </c>
      <c r="J40" s="67">
        <f t="shared" si="84"/>
        <v>774.19354838709683</v>
      </c>
      <c r="K40" s="67">
        <f>VLOOKUP(B40,'Salary -Dec-2024 (Full)'!$B$6:$AE$286,10,0)</f>
        <v>24000</v>
      </c>
      <c r="L40" s="68">
        <f t="shared" si="85"/>
        <v>14400</v>
      </c>
      <c r="M40" s="68">
        <f t="shared" si="86"/>
        <v>7200</v>
      </c>
      <c r="N40" s="68">
        <f t="shared" si="87"/>
        <v>1440</v>
      </c>
      <c r="O40" s="68">
        <f t="shared" si="88"/>
        <v>960</v>
      </c>
      <c r="P40" s="69"/>
      <c r="Q40" s="70">
        <f t="shared" si="89"/>
        <v>24000</v>
      </c>
      <c r="R40" s="70">
        <f>VLOOKUP(B40,'Salary -Dec-2024 (Full)'!$B$6:$AE$383,17,0)</f>
        <v>24000</v>
      </c>
      <c r="S40" s="192">
        <f>VLOOKUP(B40,'Salary -Dec-2024 (Full)'!$B$6:$AE$383,18,0)</f>
        <v>0</v>
      </c>
      <c r="T40" s="192">
        <f>VLOOKUP(B40,'Salary -Dec-2024 (Full)'!$B$6:$AE$383,19,0)</f>
        <v>0</v>
      </c>
      <c r="U40" s="337">
        <f>VLOOKUP(B40,'Salary -Dec-2024 (Full)'!$B$6:$AE$383,20,0)</f>
        <v>0</v>
      </c>
      <c r="V40" s="71">
        <f t="shared" si="90"/>
        <v>24000</v>
      </c>
      <c r="W40" s="192">
        <f>VLOOKUP(B40,'Salary -Dec-2024 (Full)'!$B$6:$AE$383,22,0)</f>
        <v>0</v>
      </c>
      <c r="X40" s="192">
        <f>VLOOKUP(B40,'Salary -Dec-2024 (Full)'!$B$6:$AE$383,23,0)</f>
        <v>0</v>
      </c>
      <c r="Y40" s="337">
        <f>VLOOKUP(B40,'Salary -Dec-2024 (Full)'!$B$6:$AE$383,24,0)</f>
        <v>0</v>
      </c>
      <c r="Z40" s="192">
        <f>VLOOKUP(B40,'Salary -Dec-2024 (Full)'!$B$6:$AE$383,25,0)</f>
        <v>0</v>
      </c>
      <c r="AA40" s="192">
        <f>VLOOKUP(B40,'Salary -Dec-2024 (Full)'!$B$6:$AE$383,26,0)</f>
        <v>0</v>
      </c>
      <c r="AB40" s="379">
        <f t="shared" si="91"/>
        <v>0</v>
      </c>
      <c r="AC40" s="71">
        <f t="shared" si="92"/>
        <v>24000</v>
      </c>
      <c r="AD40" s="74" t="str">
        <f>VLOOKUP(B40,'Salary -Dec-2024 (Full)'!$B$6:$AE$286,29,0)</f>
        <v>Bank</v>
      </c>
      <c r="AE40" s="65" t="str">
        <f>VLOOKUP(B40,'Salary -Dec-2024 (Full)'!$B$6:$AE$286,30,0)</f>
        <v>273.158.0029384</v>
      </c>
      <c r="AH40" s="198"/>
    </row>
    <row r="41" spans="1:34" s="61" customFormat="1" ht="30" customHeight="1">
      <c r="A41" s="62">
        <v>17</v>
      </c>
      <c r="B41" s="392" t="s">
        <v>1628</v>
      </c>
      <c r="C41" s="64" t="str">
        <f>VLOOKUP(B41,Attendance!$B$6:$D$385,2,0)</f>
        <v>Akash Chandra Biswas</v>
      </c>
      <c r="D41" s="115" t="str">
        <f>VLOOKUP(B41,'Salary -Dec-2024 (Full)'!$B$6:$D$286,3,0)</f>
        <v>Territory Manager</v>
      </c>
      <c r="E41" s="115" t="str">
        <f>VLOOKUP(B41,'Salary -Dec-2024 (Full)'!$B$6:$AE$286,4,0)</f>
        <v>Seed</v>
      </c>
      <c r="F41" s="266">
        <f>VLOOKUP(B41,'Salary -Dec-2024 (Full)'!$B$6:$AE$286,5,0)</f>
        <v>45536</v>
      </c>
      <c r="G41" s="66">
        <f>VLOOKUP(B41,'Salary -Dec-2024 (Full)'!$B$6:$AE$286,6,0)</f>
        <v>31</v>
      </c>
      <c r="H41" s="67">
        <f>VLOOKUP(B41,'Salary -Dec-2024 (Full)'!$B$6:$AE$286,7,0)</f>
        <v>25</v>
      </c>
      <c r="I41" s="66">
        <f t="shared" si="83"/>
        <v>6</v>
      </c>
      <c r="J41" s="67">
        <f t="shared" si="84"/>
        <v>1129.0322580645161</v>
      </c>
      <c r="K41" s="67">
        <f>VLOOKUP(B41,'Salary -Dec-2024 (Full)'!$B$6:$AE$286,10,0)</f>
        <v>35000</v>
      </c>
      <c r="L41" s="68">
        <f t="shared" si="85"/>
        <v>21000</v>
      </c>
      <c r="M41" s="68">
        <f t="shared" si="86"/>
        <v>10500</v>
      </c>
      <c r="N41" s="68">
        <f t="shared" si="87"/>
        <v>2100</v>
      </c>
      <c r="O41" s="68">
        <f t="shared" si="88"/>
        <v>1400</v>
      </c>
      <c r="P41" s="69"/>
      <c r="Q41" s="70">
        <f t="shared" si="89"/>
        <v>35000</v>
      </c>
      <c r="R41" s="70">
        <f>VLOOKUP(B41,'Salary -Dec-2024 (Full)'!$B$6:$AE$383,17,0)</f>
        <v>6774</v>
      </c>
      <c r="S41" s="192">
        <f>VLOOKUP(B41,'Salary -Dec-2024 (Full)'!$B$6:$AE$383,18,0)</f>
        <v>0</v>
      </c>
      <c r="T41" s="192">
        <f>VLOOKUP(B41,'Salary -Dec-2024 (Full)'!$B$6:$AE$383,19,0)</f>
        <v>0</v>
      </c>
      <c r="U41" s="337">
        <f>VLOOKUP(B41,'Salary -Dec-2024 (Full)'!$B$6:$AE$383,20,0)</f>
        <v>0</v>
      </c>
      <c r="V41" s="71">
        <f t="shared" si="90"/>
        <v>6774</v>
      </c>
      <c r="W41" s="192">
        <f>VLOOKUP(B41,'Salary -Dec-2024 (Full)'!$B$6:$AE$383,22,0)</f>
        <v>0</v>
      </c>
      <c r="X41" s="192">
        <f>VLOOKUP(B41,'Salary -Dec-2024 (Full)'!$B$6:$AE$383,23,0)</f>
        <v>0</v>
      </c>
      <c r="Y41" s="337">
        <f>VLOOKUP(B41,'Salary -Dec-2024 (Full)'!$B$6:$AE$383,24,0)</f>
        <v>0</v>
      </c>
      <c r="Z41" s="192">
        <f>VLOOKUP(B41,'Salary -Dec-2024 (Full)'!$B$6:$AE$383,25,0)</f>
        <v>0</v>
      </c>
      <c r="AA41" s="192">
        <f>VLOOKUP(B41,'Salary -Dec-2024 (Full)'!$B$6:$AE$383,26,0)</f>
        <v>0</v>
      </c>
      <c r="AB41" s="379">
        <f t="shared" si="91"/>
        <v>0</v>
      </c>
      <c r="AC41" s="71">
        <f t="shared" si="92"/>
        <v>6774</v>
      </c>
      <c r="AD41" s="74" t="str">
        <f>VLOOKUP(B41,'Salary -Dec-2024 (Full)'!$B$6:$AE$286,29,0)</f>
        <v>Cash</v>
      </c>
      <c r="AE41" s="65" t="str">
        <f>VLOOKUP(B41,'Salary -Dec-2024 (Full)'!$B$6:$AE$286,30,0)</f>
        <v>Resign</v>
      </c>
      <c r="AH41" s="198"/>
    </row>
    <row r="42" spans="1:34" s="61" customFormat="1" ht="30" customHeight="1">
      <c r="A42" s="62">
        <v>18</v>
      </c>
      <c r="B42" s="392" t="s">
        <v>1643</v>
      </c>
      <c r="C42" s="64" t="str">
        <f>VLOOKUP(B42,Attendance!$B$6:$D$385,2,0)</f>
        <v>Mohammad Elias Parwary</v>
      </c>
      <c r="D42" s="115" t="str">
        <f>VLOOKUP(B42,'Salary -Dec-2024 (Full)'!$B$6:$D$286,3,0)</f>
        <v>Territory Sales Officer</v>
      </c>
      <c r="E42" s="115" t="str">
        <f>VLOOKUP(B42,'Salary -Dec-2024 (Full)'!$B$6:$AE$286,4,0)</f>
        <v>Seed</v>
      </c>
      <c r="F42" s="266">
        <f>VLOOKUP(B42,'Salary -Dec-2024 (Full)'!$B$6:$AE$286,5,0)</f>
        <v>45566</v>
      </c>
      <c r="G42" s="66">
        <f>VLOOKUP(B42,'Salary -Dec-2024 (Full)'!$B$6:$AE$286,6,0)</f>
        <v>31</v>
      </c>
      <c r="H42" s="67">
        <f>VLOOKUP(B42,'Salary -Dec-2024 (Full)'!$B$6:$AE$286,7,0)</f>
        <v>0</v>
      </c>
      <c r="I42" s="66">
        <f t="shared" ref="I42:I51" si="93">G42-H42</f>
        <v>31</v>
      </c>
      <c r="J42" s="67">
        <f t="shared" ref="J42:J51" si="94">Q42/G42</f>
        <v>741.93548387096769</v>
      </c>
      <c r="K42" s="67">
        <f>VLOOKUP(B42,'Salary -Dec-2024 (Full)'!$B$6:$AE$286,10,0)</f>
        <v>23000</v>
      </c>
      <c r="L42" s="68">
        <f t="shared" ref="L42:L51" si="95">K42*60%</f>
        <v>13800</v>
      </c>
      <c r="M42" s="68">
        <f t="shared" ref="M42:M51" si="96">K42*30%</f>
        <v>6900</v>
      </c>
      <c r="N42" s="68">
        <f t="shared" ref="N42:N51" si="97">K42*6%</f>
        <v>1380</v>
      </c>
      <c r="O42" s="68">
        <f t="shared" ref="O42:O51" si="98">K42*4%</f>
        <v>920</v>
      </c>
      <c r="P42" s="69"/>
      <c r="Q42" s="70">
        <f t="shared" ref="Q42:Q51" si="99">SUM(L42:P42)</f>
        <v>23000</v>
      </c>
      <c r="R42" s="70">
        <f>VLOOKUP(B42,'Salary -Dec-2024 (Full)'!$B$6:$AE$383,17,0)</f>
        <v>23000</v>
      </c>
      <c r="S42" s="192">
        <f>VLOOKUP(B42,'Salary -Dec-2024 (Full)'!$B$6:$AE$383,18,0)</f>
        <v>0</v>
      </c>
      <c r="T42" s="192">
        <f>VLOOKUP(B42,'Salary -Dec-2024 (Full)'!$B$6:$AE$383,19,0)</f>
        <v>0</v>
      </c>
      <c r="U42" s="337">
        <f>VLOOKUP(B42,'Salary -Dec-2024 (Full)'!$B$6:$AE$383,20,0)</f>
        <v>0</v>
      </c>
      <c r="V42" s="71">
        <f t="shared" ref="V42:V51" si="100">SUM(R42:U42)</f>
        <v>23000</v>
      </c>
      <c r="W42" s="192">
        <f>VLOOKUP(B42,'Salary -Dec-2024 (Full)'!$B$6:$AE$383,22,0)</f>
        <v>0</v>
      </c>
      <c r="X42" s="192">
        <f>VLOOKUP(B42,'Salary -Dec-2024 (Full)'!$B$6:$AE$383,23,0)</f>
        <v>0</v>
      </c>
      <c r="Y42" s="337">
        <f>VLOOKUP(B42,'Salary -Dec-2024 (Full)'!$B$6:$AE$383,24,0)</f>
        <v>0</v>
      </c>
      <c r="Z42" s="192">
        <f>VLOOKUP(B42,'Salary -Dec-2024 (Full)'!$B$6:$AE$383,25,0)</f>
        <v>0</v>
      </c>
      <c r="AA42" s="192">
        <f>VLOOKUP(B42,'Salary -Dec-2024 (Full)'!$B$6:$AE$383,26,0)</f>
        <v>0</v>
      </c>
      <c r="AB42" s="379">
        <f t="shared" ref="AB42:AB51" si="101">SUM(W42:AA42)</f>
        <v>0</v>
      </c>
      <c r="AC42" s="71">
        <f t="shared" ref="AC42:AC51" si="102">ROUND(V42-AB42,0)</f>
        <v>23000</v>
      </c>
      <c r="AD42" s="74" t="str">
        <f>VLOOKUP(B42,'Salary -Dec-2024 (Full)'!$B$6:$AE$286,29,0)</f>
        <v>Bank</v>
      </c>
      <c r="AE42" s="65" t="str">
        <f>VLOOKUP(B42,'Salary -Dec-2024 (Full)'!$B$6:$AE$286,30,0)</f>
        <v>250.158.0069835</v>
      </c>
      <c r="AH42" s="198"/>
    </row>
    <row r="43" spans="1:34" s="61" customFormat="1" ht="30" customHeight="1">
      <c r="A43" s="62">
        <v>19</v>
      </c>
      <c r="B43" s="392" t="s">
        <v>1644</v>
      </c>
      <c r="C43" s="64" t="str">
        <f>VLOOKUP(B43,Attendance!$B$6:$D$385,2,0)</f>
        <v>Samiul Haque</v>
      </c>
      <c r="D43" s="115" t="str">
        <f>VLOOKUP(B43,'Salary -Dec-2024 (Full)'!$B$6:$D$286,3,0)</f>
        <v>Territory Sales Officer</v>
      </c>
      <c r="E43" s="115" t="str">
        <f>VLOOKUP(B43,'Salary -Dec-2024 (Full)'!$B$6:$AE$286,4,0)</f>
        <v>Seed</v>
      </c>
      <c r="F43" s="266">
        <f>VLOOKUP(B43,'Salary -Dec-2024 (Full)'!$B$6:$AE$286,5,0)</f>
        <v>45566</v>
      </c>
      <c r="G43" s="66">
        <f>VLOOKUP(B43,'Salary -Dec-2024 (Full)'!$B$6:$AE$286,6,0)</f>
        <v>31</v>
      </c>
      <c r="H43" s="67">
        <f>VLOOKUP(B43,'Salary -Dec-2024 (Full)'!$B$6:$AE$286,7,0)</f>
        <v>0</v>
      </c>
      <c r="I43" s="66">
        <f t="shared" si="93"/>
        <v>31</v>
      </c>
      <c r="J43" s="67">
        <f t="shared" si="94"/>
        <v>580.64516129032256</v>
      </c>
      <c r="K43" s="67">
        <f>VLOOKUP(B43,'Salary -Dec-2024 (Full)'!$B$6:$AE$286,10,0)</f>
        <v>18000</v>
      </c>
      <c r="L43" s="68">
        <f t="shared" si="95"/>
        <v>10800</v>
      </c>
      <c r="M43" s="68">
        <f t="shared" si="96"/>
        <v>5400</v>
      </c>
      <c r="N43" s="68">
        <f t="shared" si="97"/>
        <v>1080</v>
      </c>
      <c r="O43" s="68">
        <f t="shared" si="98"/>
        <v>720</v>
      </c>
      <c r="P43" s="69"/>
      <c r="Q43" s="70">
        <f t="shared" si="99"/>
        <v>18000</v>
      </c>
      <c r="R43" s="70">
        <f>VLOOKUP(B43,'Salary -Dec-2024 (Full)'!$B$6:$AE$383,17,0)</f>
        <v>18000</v>
      </c>
      <c r="S43" s="192">
        <f>VLOOKUP(B43,'Salary -Dec-2024 (Full)'!$B$6:$AE$383,18,0)</f>
        <v>0</v>
      </c>
      <c r="T43" s="192">
        <f>VLOOKUP(B43,'Salary -Dec-2024 (Full)'!$B$6:$AE$383,19,0)</f>
        <v>0</v>
      </c>
      <c r="U43" s="337">
        <f>VLOOKUP(B43,'Salary -Dec-2024 (Full)'!$B$6:$AE$383,20,0)</f>
        <v>0</v>
      </c>
      <c r="V43" s="71">
        <f t="shared" si="100"/>
        <v>18000</v>
      </c>
      <c r="W43" s="192">
        <f>VLOOKUP(B43,'Salary -Dec-2024 (Full)'!$B$6:$AE$383,22,0)</f>
        <v>0</v>
      </c>
      <c r="X43" s="192">
        <f>VLOOKUP(B43,'Salary -Dec-2024 (Full)'!$B$6:$AE$383,23,0)</f>
        <v>0</v>
      </c>
      <c r="Y43" s="337">
        <f>VLOOKUP(B43,'Salary -Dec-2024 (Full)'!$B$6:$AE$383,24,0)</f>
        <v>0</v>
      </c>
      <c r="Z43" s="192">
        <f>VLOOKUP(B43,'Salary -Dec-2024 (Full)'!$B$6:$AE$383,25,0)</f>
        <v>0</v>
      </c>
      <c r="AA43" s="192">
        <f>VLOOKUP(B43,'Salary -Dec-2024 (Full)'!$B$6:$AE$383,26,0)</f>
        <v>0</v>
      </c>
      <c r="AB43" s="379">
        <f t="shared" si="101"/>
        <v>0</v>
      </c>
      <c r="AC43" s="71">
        <f t="shared" si="102"/>
        <v>18000</v>
      </c>
      <c r="AD43" s="74" t="str">
        <f>VLOOKUP(B43,'Salary -Dec-2024 (Full)'!$B$6:$AE$286,29,0)</f>
        <v>Bank</v>
      </c>
      <c r="AE43" s="65" t="str">
        <f>VLOOKUP(B43,'Salary -Dec-2024 (Full)'!$B$6:$AE$286,30,0)</f>
        <v>156.158.0123305</v>
      </c>
      <c r="AH43" s="198"/>
    </row>
    <row r="44" spans="1:34" s="61" customFormat="1" ht="30" customHeight="1">
      <c r="A44" s="62">
        <v>20</v>
      </c>
      <c r="B44" s="392" t="s">
        <v>1645</v>
      </c>
      <c r="C44" s="64" t="str">
        <f>VLOOKUP(B44,Attendance!$B$6:$D$385,2,0)</f>
        <v>Md Shariful Islam</v>
      </c>
      <c r="D44" s="115" t="str">
        <f>VLOOKUP(B44,'Salary -Dec-2024 (Full)'!$B$6:$D$286,3,0)</f>
        <v>Sr. Territory Sales Officer</v>
      </c>
      <c r="E44" s="115" t="str">
        <f>VLOOKUP(B44,'Salary -Dec-2024 (Full)'!$B$6:$AE$286,4,0)</f>
        <v>Seed</v>
      </c>
      <c r="F44" s="266">
        <f>VLOOKUP(B44,'Salary -Dec-2024 (Full)'!$B$6:$AE$286,5,0)</f>
        <v>45566</v>
      </c>
      <c r="G44" s="66">
        <f>VLOOKUP(B44,'Salary -Dec-2024 (Full)'!$B$6:$AE$286,6,0)</f>
        <v>31</v>
      </c>
      <c r="H44" s="67">
        <f>VLOOKUP(B44,'Salary -Dec-2024 (Full)'!$B$6:$AE$286,7,0)</f>
        <v>0</v>
      </c>
      <c r="I44" s="66">
        <f t="shared" si="93"/>
        <v>31</v>
      </c>
      <c r="J44" s="67">
        <f t="shared" si="94"/>
        <v>870.9677419354839</v>
      </c>
      <c r="K44" s="67">
        <f>VLOOKUP(B44,'Salary -Dec-2024 (Full)'!$B$6:$AE$286,10,0)</f>
        <v>27000</v>
      </c>
      <c r="L44" s="68">
        <f t="shared" si="95"/>
        <v>16200</v>
      </c>
      <c r="M44" s="68">
        <f t="shared" si="96"/>
        <v>8100</v>
      </c>
      <c r="N44" s="68">
        <f t="shared" si="97"/>
        <v>1620</v>
      </c>
      <c r="O44" s="68">
        <f t="shared" si="98"/>
        <v>1080</v>
      </c>
      <c r="P44" s="69"/>
      <c r="Q44" s="70">
        <f t="shared" si="99"/>
        <v>27000</v>
      </c>
      <c r="R44" s="70">
        <f>VLOOKUP(B44,'Salary -Dec-2024 (Full)'!$B$6:$AE$383,17,0)</f>
        <v>27000</v>
      </c>
      <c r="S44" s="192">
        <f>VLOOKUP(B44,'Salary -Dec-2024 (Full)'!$B$6:$AE$383,18,0)</f>
        <v>0</v>
      </c>
      <c r="T44" s="192">
        <f>VLOOKUP(B44,'Salary -Dec-2024 (Full)'!$B$6:$AE$383,19,0)</f>
        <v>0</v>
      </c>
      <c r="U44" s="337">
        <f>VLOOKUP(B44,'Salary -Dec-2024 (Full)'!$B$6:$AE$383,20,0)</f>
        <v>0</v>
      </c>
      <c r="V44" s="71">
        <f t="shared" si="100"/>
        <v>27000</v>
      </c>
      <c r="W44" s="192">
        <f>VLOOKUP(B44,'Salary -Dec-2024 (Full)'!$B$6:$AE$383,22,0)</f>
        <v>0</v>
      </c>
      <c r="X44" s="192">
        <f>VLOOKUP(B44,'Salary -Dec-2024 (Full)'!$B$6:$AE$383,23,0)</f>
        <v>0</v>
      </c>
      <c r="Y44" s="337">
        <f>VLOOKUP(B44,'Salary -Dec-2024 (Full)'!$B$6:$AE$383,24,0)</f>
        <v>0</v>
      </c>
      <c r="Z44" s="192">
        <f>VLOOKUP(B44,'Salary -Dec-2024 (Full)'!$B$6:$AE$383,25,0)</f>
        <v>2160</v>
      </c>
      <c r="AA44" s="192">
        <f>VLOOKUP(B44,'Salary -Dec-2024 (Full)'!$B$6:$AE$383,26,0)</f>
        <v>0</v>
      </c>
      <c r="AB44" s="379">
        <f t="shared" si="101"/>
        <v>2160</v>
      </c>
      <c r="AC44" s="71">
        <f t="shared" si="102"/>
        <v>24840</v>
      </c>
      <c r="AD44" s="74" t="str">
        <f>VLOOKUP(B44,'Salary -Dec-2024 (Full)'!$B$6:$AE$286,29,0)</f>
        <v>Bank</v>
      </c>
      <c r="AE44" s="65" t="str">
        <f>VLOOKUP(B44,'Salary -Dec-2024 (Full)'!$B$6:$AE$286,30,0)</f>
        <v>172.151.0228417</v>
      </c>
      <c r="AH44" s="198"/>
    </row>
    <row r="45" spans="1:34" s="61" customFormat="1" ht="30" customHeight="1">
      <c r="A45" s="62">
        <v>21</v>
      </c>
      <c r="B45" s="392" t="s">
        <v>1646</v>
      </c>
      <c r="C45" s="64" t="str">
        <f>VLOOKUP(B45,Attendance!$B$6:$D$385,2,0)</f>
        <v>Sabbir Ahmed Siddiki</v>
      </c>
      <c r="D45" s="115" t="str">
        <f>VLOOKUP(B45,'Salary -Dec-2024 (Full)'!$B$6:$D$286,3,0)</f>
        <v>Territory Sales Officer</v>
      </c>
      <c r="E45" s="115" t="str">
        <f>VLOOKUP(B45,'Salary -Dec-2024 (Full)'!$B$6:$AE$286,4,0)</f>
        <v>Seed</v>
      </c>
      <c r="F45" s="266">
        <f>VLOOKUP(B45,'Salary -Dec-2024 (Full)'!$B$6:$AE$286,5,0)</f>
        <v>45568</v>
      </c>
      <c r="G45" s="66">
        <f>VLOOKUP(B45,'Salary -Dec-2024 (Full)'!$B$6:$AE$286,6,0)</f>
        <v>31</v>
      </c>
      <c r="H45" s="67">
        <f>VLOOKUP(B45,'Salary -Dec-2024 (Full)'!$B$6:$AE$286,7,0)</f>
        <v>0</v>
      </c>
      <c r="I45" s="66">
        <f t="shared" si="93"/>
        <v>31</v>
      </c>
      <c r="J45" s="67">
        <f t="shared" si="94"/>
        <v>709.67741935483866</v>
      </c>
      <c r="K45" s="67">
        <f>VLOOKUP(B45,'Salary -Dec-2024 (Full)'!$B$6:$AE$286,10,0)</f>
        <v>22000</v>
      </c>
      <c r="L45" s="68">
        <f t="shared" si="95"/>
        <v>13200</v>
      </c>
      <c r="M45" s="68">
        <f t="shared" si="96"/>
        <v>6600</v>
      </c>
      <c r="N45" s="68">
        <f t="shared" si="97"/>
        <v>1320</v>
      </c>
      <c r="O45" s="68">
        <f t="shared" si="98"/>
        <v>880</v>
      </c>
      <c r="P45" s="69"/>
      <c r="Q45" s="70">
        <f t="shared" si="99"/>
        <v>22000</v>
      </c>
      <c r="R45" s="70">
        <f>VLOOKUP(B45,'Salary -Dec-2024 (Full)'!$B$6:$AE$383,17,0)</f>
        <v>22000</v>
      </c>
      <c r="S45" s="192">
        <f>VLOOKUP(B45,'Salary -Dec-2024 (Full)'!$B$6:$AE$383,18,0)</f>
        <v>0</v>
      </c>
      <c r="T45" s="192">
        <f>VLOOKUP(B45,'Salary -Dec-2024 (Full)'!$B$6:$AE$383,19,0)</f>
        <v>0</v>
      </c>
      <c r="U45" s="337">
        <f>VLOOKUP(B45,'Salary -Dec-2024 (Full)'!$B$6:$AE$383,20,0)</f>
        <v>0</v>
      </c>
      <c r="V45" s="71">
        <f t="shared" si="100"/>
        <v>22000</v>
      </c>
      <c r="W45" s="192">
        <f>VLOOKUP(B45,'Salary -Dec-2024 (Full)'!$B$6:$AE$383,22,0)</f>
        <v>0</v>
      </c>
      <c r="X45" s="192">
        <f>VLOOKUP(B45,'Salary -Dec-2024 (Full)'!$B$6:$AE$383,23,0)</f>
        <v>0</v>
      </c>
      <c r="Y45" s="337">
        <f>VLOOKUP(B45,'Salary -Dec-2024 (Full)'!$B$6:$AE$383,24,0)</f>
        <v>0</v>
      </c>
      <c r="Z45" s="192">
        <f>VLOOKUP(B45,'Salary -Dec-2024 (Full)'!$B$6:$AE$383,25,0)</f>
        <v>0</v>
      </c>
      <c r="AA45" s="192">
        <f>VLOOKUP(B45,'Salary -Dec-2024 (Full)'!$B$6:$AE$383,26,0)</f>
        <v>0</v>
      </c>
      <c r="AB45" s="379">
        <f t="shared" si="101"/>
        <v>0</v>
      </c>
      <c r="AC45" s="71">
        <f t="shared" si="102"/>
        <v>22000</v>
      </c>
      <c r="AD45" s="74" t="str">
        <f>VLOOKUP(B45,'Salary -Dec-2024 (Full)'!$B$6:$AE$286,29,0)</f>
        <v>Bank</v>
      </c>
      <c r="AE45" s="65" t="str">
        <f>VLOOKUP(B45,'Salary -Dec-2024 (Full)'!$B$6:$AE$286,30,0)</f>
        <v>251.103.0062398</v>
      </c>
      <c r="AH45" s="198"/>
    </row>
    <row r="46" spans="1:34" s="61" customFormat="1" ht="30" customHeight="1">
      <c r="A46" s="62">
        <v>22</v>
      </c>
      <c r="B46" s="392" t="s">
        <v>1647</v>
      </c>
      <c r="C46" s="64" t="str">
        <f>VLOOKUP(B46,Attendance!$B$6:$D$385,2,0)</f>
        <v>Md Abu Said</v>
      </c>
      <c r="D46" s="115" t="str">
        <f>VLOOKUP(B46,'Salary -Dec-2024 (Full)'!$B$6:$D$286,3,0)</f>
        <v>Territory Sales Officer</v>
      </c>
      <c r="E46" s="115" t="str">
        <f>VLOOKUP(B46,'Salary -Dec-2024 (Full)'!$B$6:$AE$286,4,0)</f>
        <v>Seed</v>
      </c>
      <c r="F46" s="266">
        <f>VLOOKUP(B46,'Salary -Dec-2024 (Full)'!$B$6:$AE$286,5,0)</f>
        <v>45568</v>
      </c>
      <c r="G46" s="66">
        <f>VLOOKUP(B46,'Salary -Dec-2024 (Full)'!$B$6:$AE$286,6,0)</f>
        <v>31</v>
      </c>
      <c r="H46" s="67">
        <f>VLOOKUP(B46,'Salary -Dec-2024 (Full)'!$B$6:$AE$286,7,0)</f>
        <v>0</v>
      </c>
      <c r="I46" s="66">
        <f t="shared" si="93"/>
        <v>31</v>
      </c>
      <c r="J46" s="67">
        <f t="shared" si="94"/>
        <v>580.64516129032256</v>
      </c>
      <c r="K46" s="67">
        <f>VLOOKUP(B46,'Salary -Dec-2024 (Full)'!$B$6:$AE$286,10,0)</f>
        <v>18000</v>
      </c>
      <c r="L46" s="68">
        <f t="shared" si="95"/>
        <v>10800</v>
      </c>
      <c r="M46" s="68">
        <f t="shared" si="96"/>
        <v>5400</v>
      </c>
      <c r="N46" s="68">
        <f t="shared" si="97"/>
        <v>1080</v>
      </c>
      <c r="O46" s="68">
        <f t="shared" si="98"/>
        <v>720</v>
      </c>
      <c r="P46" s="69"/>
      <c r="Q46" s="70">
        <f t="shared" si="99"/>
        <v>18000</v>
      </c>
      <c r="R46" s="70">
        <f>VLOOKUP(B46,'Salary -Dec-2024 (Full)'!$B$6:$AE$383,17,0)</f>
        <v>18000</v>
      </c>
      <c r="S46" s="192">
        <f>VLOOKUP(B46,'Salary -Dec-2024 (Full)'!$B$6:$AE$383,18,0)</f>
        <v>0</v>
      </c>
      <c r="T46" s="192">
        <f>VLOOKUP(B46,'Salary -Dec-2024 (Full)'!$B$6:$AE$383,19,0)</f>
        <v>0</v>
      </c>
      <c r="U46" s="337">
        <f>VLOOKUP(B46,'Salary -Dec-2024 (Full)'!$B$6:$AE$383,20,0)</f>
        <v>0</v>
      </c>
      <c r="V46" s="71">
        <f t="shared" si="100"/>
        <v>18000</v>
      </c>
      <c r="W46" s="192">
        <f>VLOOKUP(B46,'Salary -Dec-2024 (Full)'!$B$6:$AE$383,22,0)</f>
        <v>0</v>
      </c>
      <c r="X46" s="192">
        <f>VLOOKUP(B46,'Salary -Dec-2024 (Full)'!$B$6:$AE$383,23,0)</f>
        <v>0</v>
      </c>
      <c r="Y46" s="337">
        <f>VLOOKUP(B46,'Salary -Dec-2024 (Full)'!$B$6:$AE$383,24,0)</f>
        <v>0</v>
      </c>
      <c r="Z46" s="192">
        <f>VLOOKUP(B46,'Salary -Dec-2024 (Full)'!$B$6:$AE$383,25,0)</f>
        <v>0</v>
      </c>
      <c r="AA46" s="192">
        <f>VLOOKUP(B46,'Salary -Dec-2024 (Full)'!$B$6:$AE$383,26,0)</f>
        <v>0</v>
      </c>
      <c r="AB46" s="379">
        <f t="shared" si="101"/>
        <v>0</v>
      </c>
      <c r="AC46" s="71">
        <f t="shared" si="102"/>
        <v>18000</v>
      </c>
      <c r="AD46" s="74" t="str">
        <f>VLOOKUP(B46,'Salary -Dec-2024 (Full)'!$B$6:$AE$286,29,0)</f>
        <v>Bank</v>
      </c>
      <c r="AE46" s="65" t="str">
        <f>VLOOKUP(B46,'Salary -Dec-2024 (Full)'!$B$6:$AE$286,30,0)</f>
        <v>125.158.0165255</v>
      </c>
      <c r="AH46" s="198"/>
    </row>
    <row r="47" spans="1:34" s="61" customFormat="1" ht="30" customHeight="1">
      <c r="A47" s="62">
        <v>23</v>
      </c>
      <c r="B47" s="392" t="s">
        <v>1648</v>
      </c>
      <c r="C47" s="64" t="str">
        <f>VLOOKUP(B47,Attendance!$B$6:$D$385,2,0)</f>
        <v>Md Ariful Islam</v>
      </c>
      <c r="D47" s="115" t="str">
        <f>VLOOKUP(B47,'Salary -Dec-2024 (Full)'!$B$6:$D$286,3,0)</f>
        <v>Brand Promotion Officer</v>
      </c>
      <c r="E47" s="115" t="str">
        <f>VLOOKUP(B47,'Salary -Dec-2024 (Full)'!$B$6:$AE$286,4,0)</f>
        <v>Seed</v>
      </c>
      <c r="F47" s="266">
        <f>VLOOKUP(B47,'Salary -Dec-2024 (Full)'!$B$6:$AE$286,5,0)</f>
        <v>45568</v>
      </c>
      <c r="G47" s="66">
        <f>VLOOKUP(B47,'Salary -Dec-2024 (Full)'!$B$6:$AE$286,6,0)</f>
        <v>31</v>
      </c>
      <c r="H47" s="67">
        <f>VLOOKUP(B47,'Salary -Dec-2024 (Full)'!$B$6:$AE$286,7,0)</f>
        <v>0</v>
      </c>
      <c r="I47" s="66">
        <f t="shared" si="93"/>
        <v>31</v>
      </c>
      <c r="J47" s="67">
        <f t="shared" si="94"/>
        <v>870.9677419354839</v>
      </c>
      <c r="K47" s="67">
        <f>VLOOKUP(B47,'Salary -Dec-2024 (Full)'!$B$6:$AE$286,10,0)</f>
        <v>27000</v>
      </c>
      <c r="L47" s="68">
        <f t="shared" si="95"/>
        <v>16200</v>
      </c>
      <c r="M47" s="68">
        <f t="shared" si="96"/>
        <v>8100</v>
      </c>
      <c r="N47" s="68">
        <f t="shared" si="97"/>
        <v>1620</v>
      </c>
      <c r="O47" s="68">
        <f t="shared" si="98"/>
        <v>1080</v>
      </c>
      <c r="P47" s="69"/>
      <c r="Q47" s="70">
        <f t="shared" si="99"/>
        <v>27000</v>
      </c>
      <c r="R47" s="70">
        <f>VLOOKUP(B47,'Salary -Dec-2024 (Full)'!$B$6:$AE$383,17,0)</f>
        <v>27000</v>
      </c>
      <c r="S47" s="192">
        <f>VLOOKUP(B47,'Salary -Dec-2024 (Full)'!$B$6:$AE$383,18,0)</f>
        <v>0</v>
      </c>
      <c r="T47" s="192">
        <f>VLOOKUP(B47,'Salary -Dec-2024 (Full)'!$B$6:$AE$383,19,0)</f>
        <v>0</v>
      </c>
      <c r="U47" s="337">
        <f>VLOOKUP(B47,'Salary -Dec-2024 (Full)'!$B$6:$AE$383,20,0)</f>
        <v>0</v>
      </c>
      <c r="V47" s="71">
        <f t="shared" si="100"/>
        <v>27000</v>
      </c>
      <c r="W47" s="192">
        <f>VLOOKUP(B47,'Salary -Dec-2024 (Full)'!$B$6:$AE$383,22,0)</f>
        <v>0</v>
      </c>
      <c r="X47" s="192">
        <f>VLOOKUP(B47,'Salary -Dec-2024 (Full)'!$B$6:$AE$383,23,0)</f>
        <v>0</v>
      </c>
      <c r="Y47" s="337">
        <f>VLOOKUP(B47,'Salary -Dec-2024 (Full)'!$B$6:$AE$383,24,0)</f>
        <v>0</v>
      </c>
      <c r="Z47" s="192">
        <f>VLOOKUP(B47,'Salary -Dec-2024 (Full)'!$B$6:$AE$383,25,0)</f>
        <v>0</v>
      </c>
      <c r="AA47" s="192">
        <f>VLOOKUP(B47,'Salary -Dec-2024 (Full)'!$B$6:$AE$383,26,0)</f>
        <v>0</v>
      </c>
      <c r="AB47" s="379">
        <f t="shared" si="101"/>
        <v>0</v>
      </c>
      <c r="AC47" s="71">
        <f t="shared" si="102"/>
        <v>27000</v>
      </c>
      <c r="AD47" s="74" t="str">
        <f>VLOOKUP(B47,'Salary -Dec-2024 (Full)'!$B$6:$AE$286,29,0)</f>
        <v>Bank</v>
      </c>
      <c r="AE47" s="65" t="str">
        <f>VLOOKUP(B47,'Salary -Dec-2024 (Full)'!$B$6:$AE$286,30,0)</f>
        <v>163.103.0201515</v>
      </c>
      <c r="AH47" s="198"/>
    </row>
    <row r="48" spans="1:34" s="61" customFormat="1" ht="30" customHeight="1">
      <c r="A48" s="62">
        <v>24</v>
      </c>
      <c r="B48" s="392" t="s">
        <v>1649</v>
      </c>
      <c r="C48" s="64" t="str">
        <f>VLOOKUP(B48,Attendance!$B$6:$D$385,2,0)</f>
        <v>Md Nasir</v>
      </c>
      <c r="D48" s="115" t="str">
        <f>VLOOKUP(B48,'Salary -Dec-2024 (Full)'!$B$6:$D$286,3,0)</f>
        <v>Sr. Production Officer</v>
      </c>
      <c r="E48" s="115" t="str">
        <f>VLOOKUP(B48,'Salary -Dec-2024 (Full)'!$B$6:$AE$286,4,0)</f>
        <v>Seed</v>
      </c>
      <c r="F48" s="266">
        <f>VLOOKUP(B48,'Salary -Dec-2024 (Full)'!$B$6:$AE$286,5,0)</f>
        <v>45577</v>
      </c>
      <c r="G48" s="66">
        <f>VLOOKUP(B48,'Salary -Dec-2024 (Full)'!$B$6:$AE$286,6,0)</f>
        <v>31</v>
      </c>
      <c r="H48" s="67">
        <f>VLOOKUP(B48,'Salary -Dec-2024 (Full)'!$B$6:$AE$286,7,0)</f>
        <v>0</v>
      </c>
      <c r="I48" s="66">
        <f t="shared" si="93"/>
        <v>31</v>
      </c>
      <c r="J48" s="67">
        <f t="shared" si="94"/>
        <v>1258.0645161290322</v>
      </c>
      <c r="K48" s="67">
        <f>VLOOKUP(B48,'Salary -Dec-2024 (Full)'!$B$6:$AE$286,10,0)</f>
        <v>39000</v>
      </c>
      <c r="L48" s="68">
        <f t="shared" si="95"/>
        <v>23400</v>
      </c>
      <c r="M48" s="68">
        <f t="shared" si="96"/>
        <v>11700</v>
      </c>
      <c r="N48" s="68">
        <f t="shared" si="97"/>
        <v>2340</v>
      </c>
      <c r="O48" s="68">
        <f t="shared" si="98"/>
        <v>1560</v>
      </c>
      <c r="P48" s="69"/>
      <c r="Q48" s="70">
        <f t="shared" si="99"/>
        <v>39000</v>
      </c>
      <c r="R48" s="70">
        <f>VLOOKUP(B48,'Salary -Dec-2024 (Full)'!$B$6:$AE$383,17,0)</f>
        <v>39000</v>
      </c>
      <c r="S48" s="192">
        <f>VLOOKUP(B48,'Salary -Dec-2024 (Full)'!$B$6:$AE$383,18,0)</f>
        <v>0</v>
      </c>
      <c r="T48" s="192">
        <f>VLOOKUP(B48,'Salary -Dec-2024 (Full)'!$B$6:$AE$383,19,0)</f>
        <v>0</v>
      </c>
      <c r="U48" s="337">
        <f>VLOOKUP(B48,'Salary -Dec-2024 (Full)'!$B$6:$AE$383,20,0)</f>
        <v>0</v>
      </c>
      <c r="V48" s="71">
        <f t="shared" si="100"/>
        <v>39000</v>
      </c>
      <c r="W48" s="192">
        <f>VLOOKUP(B48,'Salary -Dec-2024 (Full)'!$B$6:$AE$383,22,0)</f>
        <v>0</v>
      </c>
      <c r="X48" s="192">
        <f>VLOOKUP(B48,'Salary -Dec-2024 (Full)'!$B$6:$AE$383,23,0)</f>
        <v>0</v>
      </c>
      <c r="Y48" s="337">
        <f>VLOOKUP(B48,'Salary -Dec-2024 (Full)'!$B$6:$AE$383,24,0)</f>
        <v>0</v>
      </c>
      <c r="Z48" s="192">
        <f>VLOOKUP(B48,'Salary -Dec-2024 (Full)'!$B$6:$AE$383,25,0)</f>
        <v>0</v>
      </c>
      <c r="AA48" s="192">
        <f>VLOOKUP(B48,'Salary -Dec-2024 (Full)'!$B$6:$AE$383,26,0)</f>
        <v>0</v>
      </c>
      <c r="AB48" s="379">
        <f t="shared" si="101"/>
        <v>0</v>
      </c>
      <c r="AC48" s="71">
        <f t="shared" si="102"/>
        <v>39000</v>
      </c>
      <c r="AD48" s="74" t="str">
        <f>VLOOKUP(B48,'Salary -Dec-2024 (Full)'!$B$6:$AE$286,29,0)</f>
        <v>Bank</v>
      </c>
      <c r="AE48" s="65" t="str">
        <f>VLOOKUP(B48,'Salary -Dec-2024 (Full)'!$B$6:$AE$286,30,0)</f>
        <v>105.103.0101744</v>
      </c>
      <c r="AH48" s="198"/>
    </row>
    <row r="49" spans="1:34" s="61" customFormat="1" ht="30" customHeight="1">
      <c r="A49" s="62">
        <v>25</v>
      </c>
      <c r="B49" s="392" t="s">
        <v>1650</v>
      </c>
      <c r="C49" s="64" t="str">
        <f>VLOOKUP(B49,Attendance!$B$6:$D$385,2,0)</f>
        <v>Md Aminul Islam Manik</v>
      </c>
      <c r="D49" s="115" t="str">
        <f>VLOOKUP(B49,'Salary -Dec-2024 (Full)'!$B$6:$D$286,3,0)</f>
        <v>Assistant Breeder</v>
      </c>
      <c r="E49" s="115" t="str">
        <f>VLOOKUP(B49,'Salary -Dec-2024 (Full)'!$B$6:$AE$286,4,0)</f>
        <v>Seed</v>
      </c>
      <c r="F49" s="266">
        <f>VLOOKUP(B49,'Salary -Dec-2024 (Full)'!$B$6:$AE$286,5,0)</f>
        <v>45571</v>
      </c>
      <c r="G49" s="66">
        <f>VLOOKUP(B49,'Salary -Dec-2024 (Full)'!$B$6:$AE$286,6,0)</f>
        <v>31</v>
      </c>
      <c r="H49" s="67">
        <f>VLOOKUP(B49,'Salary -Dec-2024 (Full)'!$B$6:$AE$286,7,0)</f>
        <v>0</v>
      </c>
      <c r="I49" s="66">
        <f t="shared" si="93"/>
        <v>31</v>
      </c>
      <c r="J49" s="67">
        <f t="shared" si="94"/>
        <v>1129.0322580645161</v>
      </c>
      <c r="K49" s="67">
        <f>VLOOKUP(B49,'Salary -Dec-2024 (Full)'!$B$6:$AE$286,10,0)</f>
        <v>35000</v>
      </c>
      <c r="L49" s="68">
        <f t="shared" si="95"/>
        <v>21000</v>
      </c>
      <c r="M49" s="68">
        <f t="shared" si="96"/>
        <v>10500</v>
      </c>
      <c r="N49" s="68">
        <f t="shared" si="97"/>
        <v>2100</v>
      </c>
      <c r="O49" s="68">
        <f t="shared" si="98"/>
        <v>1400</v>
      </c>
      <c r="P49" s="69"/>
      <c r="Q49" s="70">
        <f t="shared" si="99"/>
        <v>35000</v>
      </c>
      <c r="R49" s="70">
        <f>VLOOKUP(B49,'Salary -Dec-2024 (Full)'!$B$6:$AE$383,17,0)</f>
        <v>35000</v>
      </c>
      <c r="S49" s="192">
        <f>VLOOKUP(B49,'Salary -Dec-2024 (Full)'!$B$6:$AE$383,18,0)</f>
        <v>0</v>
      </c>
      <c r="T49" s="192">
        <f>VLOOKUP(B49,'Salary -Dec-2024 (Full)'!$B$6:$AE$383,19,0)</f>
        <v>0</v>
      </c>
      <c r="U49" s="337">
        <f>VLOOKUP(B49,'Salary -Dec-2024 (Full)'!$B$6:$AE$383,20,0)</f>
        <v>0</v>
      </c>
      <c r="V49" s="71">
        <f t="shared" si="100"/>
        <v>35000</v>
      </c>
      <c r="W49" s="192">
        <f>VLOOKUP(B49,'Salary -Dec-2024 (Full)'!$B$6:$AE$383,22,0)</f>
        <v>0</v>
      </c>
      <c r="X49" s="192">
        <f>VLOOKUP(B49,'Salary -Dec-2024 (Full)'!$B$6:$AE$383,23,0)</f>
        <v>0</v>
      </c>
      <c r="Y49" s="337">
        <f>VLOOKUP(B49,'Salary -Dec-2024 (Full)'!$B$6:$AE$383,24,0)</f>
        <v>0</v>
      </c>
      <c r="Z49" s="192">
        <f>VLOOKUP(B49,'Salary -Dec-2024 (Full)'!$B$6:$AE$383,25,0)</f>
        <v>0</v>
      </c>
      <c r="AA49" s="192">
        <f>VLOOKUP(B49,'Salary -Dec-2024 (Full)'!$B$6:$AE$383,26,0)</f>
        <v>0</v>
      </c>
      <c r="AB49" s="379">
        <f t="shared" si="101"/>
        <v>0</v>
      </c>
      <c r="AC49" s="71">
        <f t="shared" si="102"/>
        <v>35000</v>
      </c>
      <c r="AD49" s="74" t="str">
        <f>VLOOKUP(B49,'Salary -Dec-2024 (Full)'!$B$6:$AE$286,29,0)</f>
        <v>Bank</v>
      </c>
      <c r="AE49" s="65" t="str">
        <f>VLOOKUP(B49,'Salary -Dec-2024 (Full)'!$B$6:$AE$286,30,0)</f>
        <v>125.103.0239878</v>
      </c>
      <c r="AH49" s="198"/>
    </row>
    <row r="50" spans="1:34" s="61" customFormat="1" ht="30" customHeight="1">
      <c r="A50" s="62">
        <v>26</v>
      </c>
      <c r="B50" s="392" t="s">
        <v>1651</v>
      </c>
      <c r="C50" s="64" t="str">
        <f>VLOOKUP(B50,Attendance!$B$6:$D$385,2,0)</f>
        <v>Md Shamim Talukder</v>
      </c>
      <c r="D50" s="115" t="str">
        <f>VLOOKUP(B50,'Salary -Dec-2024 (Full)'!$B$6:$D$286,3,0)</f>
        <v>Sr. Territory Sales Officer</v>
      </c>
      <c r="E50" s="115" t="str">
        <f>VLOOKUP(B50,'Salary -Dec-2024 (Full)'!$B$6:$AE$286,4,0)</f>
        <v>Seed</v>
      </c>
      <c r="F50" s="266">
        <f>VLOOKUP(B50,'Salary -Dec-2024 (Full)'!$B$6:$AE$286,5,0)</f>
        <v>45579</v>
      </c>
      <c r="G50" s="66">
        <f>VLOOKUP(B50,'Salary -Dec-2024 (Full)'!$B$6:$AE$286,6,0)</f>
        <v>31</v>
      </c>
      <c r="H50" s="67">
        <f>VLOOKUP(B50,'Salary -Dec-2024 (Full)'!$B$6:$AE$286,7,0)</f>
        <v>0</v>
      </c>
      <c r="I50" s="66">
        <f t="shared" si="93"/>
        <v>31</v>
      </c>
      <c r="J50" s="67">
        <f t="shared" si="94"/>
        <v>1000</v>
      </c>
      <c r="K50" s="67">
        <f>VLOOKUP(B50,'Salary -Dec-2024 (Full)'!$B$6:$AE$286,10,0)</f>
        <v>31000</v>
      </c>
      <c r="L50" s="68">
        <f t="shared" si="95"/>
        <v>18600</v>
      </c>
      <c r="M50" s="68">
        <f t="shared" si="96"/>
        <v>9300</v>
      </c>
      <c r="N50" s="68">
        <f t="shared" si="97"/>
        <v>1860</v>
      </c>
      <c r="O50" s="68">
        <f t="shared" si="98"/>
        <v>1240</v>
      </c>
      <c r="P50" s="69"/>
      <c r="Q50" s="70">
        <f t="shared" si="99"/>
        <v>31000</v>
      </c>
      <c r="R50" s="70">
        <f>VLOOKUP(B50,'Salary -Dec-2024 (Full)'!$B$6:$AE$383,17,0)</f>
        <v>31000</v>
      </c>
      <c r="S50" s="192">
        <f>VLOOKUP(B50,'Salary -Dec-2024 (Full)'!$B$6:$AE$383,18,0)</f>
        <v>0</v>
      </c>
      <c r="T50" s="192">
        <f>VLOOKUP(B50,'Salary -Dec-2024 (Full)'!$B$6:$AE$383,19,0)</f>
        <v>0</v>
      </c>
      <c r="U50" s="337">
        <f>VLOOKUP(B50,'Salary -Dec-2024 (Full)'!$B$6:$AE$383,20,0)</f>
        <v>0</v>
      </c>
      <c r="V50" s="71">
        <f t="shared" si="100"/>
        <v>31000</v>
      </c>
      <c r="W50" s="192">
        <f>VLOOKUP(B50,'Salary -Dec-2024 (Full)'!$B$6:$AE$383,22,0)</f>
        <v>0</v>
      </c>
      <c r="X50" s="192">
        <f>VLOOKUP(B50,'Salary -Dec-2024 (Full)'!$B$6:$AE$383,23,0)</f>
        <v>0</v>
      </c>
      <c r="Y50" s="337">
        <f>VLOOKUP(B50,'Salary -Dec-2024 (Full)'!$B$6:$AE$383,24,0)</f>
        <v>0</v>
      </c>
      <c r="Z50" s="192">
        <f>VLOOKUP(B50,'Salary -Dec-2024 (Full)'!$B$6:$AE$383,25,0)</f>
        <v>0</v>
      </c>
      <c r="AA50" s="192">
        <f>VLOOKUP(B50,'Salary -Dec-2024 (Full)'!$B$6:$AE$383,26,0)</f>
        <v>0</v>
      </c>
      <c r="AB50" s="379">
        <f t="shared" si="101"/>
        <v>0</v>
      </c>
      <c r="AC50" s="71">
        <f t="shared" si="102"/>
        <v>31000</v>
      </c>
      <c r="AD50" s="74" t="str">
        <f>VLOOKUP(B50,'Salary -Dec-2024 (Full)'!$B$6:$AE$286,29,0)</f>
        <v>Bank</v>
      </c>
      <c r="AE50" s="65" t="str">
        <f>VLOOKUP(B50,'Salary -Dec-2024 (Full)'!$B$6:$AE$286,30,0)</f>
        <v>220.103.0019753</v>
      </c>
      <c r="AH50" s="198"/>
    </row>
    <row r="51" spans="1:34" s="61" customFormat="1" ht="30" customHeight="1">
      <c r="A51" s="62">
        <v>27</v>
      </c>
      <c r="B51" s="392" t="s">
        <v>1652</v>
      </c>
      <c r="C51" s="64" t="str">
        <f>VLOOKUP(B51,Attendance!$B$6:$D$385,2,0)</f>
        <v>Md Nizam Uddin</v>
      </c>
      <c r="D51" s="115" t="str">
        <f>VLOOKUP(B51,'Salary -Dec-2024 (Full)'!$B$6:$D$286,3,0)</f>
        <v>Assistant Territory Sales officer</v>
      </c>
      <c r="E51" s="115" t="str">
        <f>VLOOKUP(B51,'Salary -Dec-2024 (Full)'!$B$6:$AE$286,4,0)</f>
        <v>Seed</v>
      </c>
      <c r="F51" s="266">
        <f>VLOOKUP(B51,'Salary -Dec-2024 (Full)'!$B$6:$AE$286,5,0)</f>
        <v>45584</v>
      </c>
      <c r="G51" s="66">
        <f>VLOOKUP(B51,'Salary -Dec-2024 (Full)'!$B$6:$AE$286,6,0)</f>
        <v>31</v>
      </c>
      <c r="H51" s="67">
        <f>VLOOKUP(B51,'Salary -Dec-2024 (Full)'!$B$6:$AE$286,7,0)</f>
        <v>0</v>
      </c>
      <c r="I51" s="66">
        <f t="shared" si="93"/>
        <v>31</v>
      </c>
      <c r="J51" s="67">
        <f t="shared" si="94"/>
        <v>580.64516129032256</v>
      </c>
      <c r="K51" s="67">
        <f>VLOOKUP(B51,'Salary -Dec-2024 (Full)'!$B$6:$AE$286,10,0)</f>
        <v>18000</v>
      </c>
      <c r="L51" s="68">
        <f t="shared" si="95"/>
        <v>10800</v>
      </c>
      <c r="M51" s="68">
        <f t="shared" si="96"/>
        <v>5400</v>
      </c>
      <c r="N51" s="68">
        <f t="shared" si="97"/>
        <v>1080</v>
      </c>
      <c r="O51" s="68">
        <f t="shared" si="98"/>
        <v>720</v>
      </c>
      <c r="P51" s="69"/>
      <c r="Q51" s="70">
        <f t="shared" si="99"/>
        <v>18000</v>
      </c>
      <c r="R51" s="70">
        <f>VLOOKUP(B51,'Salary -Dec-2024 (Full)'!$B$6:$AE$383,17,0)</f>
        <v>18000</v>
      </c>
      <c r="S51" s="192">
        <f>VLOOKUP(B51,'Salary -Dec-2024 (Full)'!$B$6:$AE$383,18,0)</f>
        <v>0</v>
      </c>
      <c r="T51" s="192">
        <f>VLOOKUP(B51,'Salary -Dec-2024 (Full)'!$B$6:$AE$383,19,0)</f>
        <v>0</v>
      </c>
      <c r="U51" s="337">
        <f>VLOOKUP(B51,'Salary -Dec-2024 (Full)'!$B$6:$AE$383,20,0)</f>
        <v>0</v>
      </c>
      <c r="V51" s="71">
        <f t="shared" si="100"/>
        <v>18000</v>
      </c>
      <c r="W51" s="192">
        <f>VLOOKUP(B51,'Salary -Dec-2024 (Full)'!$B$6:$AE$383,22,0)</f>
        <v>0</v>
      </c>
      <c r="X51" s="192">
        <f>VLOOKUP(B51,'Salary -Dec-2024 (Full)'!$B$6:$AE$383,23,0)</f>
        <v>0</v>
      </c>
      <c r="Y51" s="337">
        <f>VLOOKUP(B51,'Salary -Dec-2024 (Full)'!$B$6:$AE$383,24,0)</f>
        <v>0</v>
      </c>
      <c r="Z51" s="192">
        <f>VLOOKUP(B51,'Salary -Dec-2024 (Full)'!$B$6:$AE$383,25,0)</f>
        <v>0</v>
      </c>
      <c r="AA51" s="192">
        <f>VLOOKUP(B51,'Salary -Dec-2024 (Full)'!$B$6:$AE$383,26,0)</f>
        <v>0</v>
      </c>
      <c r="AB51" s="379">
        <f t="shared" si="101"/>
        <v>0</v>
      </c>
      <c r="AC51" s="71">
        <f t="shared" si="102"/>
        <v>18000</v>
      </c>
      <c r="AD51" s="74" t="str">
        <f>VLOOKUP(B51,'Salary -Dec-2024 (Full)'!$B$6:$AE$286,29,0)</f>
        <v>Bank</v>
      </c>
      <c r="AE51" s="65" t="str">
        <f>VLOOKUP(B51,'Salary -Dec-2024 (Full)'!$B$6:$AE$286,30,0)</f>
        <v>282.103.0058937</v>
      </c>
      <c r="AH51" s="198"/>
    </row>
    <row r="52" spans="1:34" s="61" customFormat="1" ht="30" customHeight="1">
      <c r="A52" s="62">
        <v>28</v>
      </c>
      <c r="B52" s="392" t="s">
        <v>1784</v>
      </c>
      <c r="C52" s="64" t="str">
        <f>VLOOKUP(B52,Attendance!$B$6:$D$385,2,0)</f>
        <v>Md Abdullah</v>
      </c>
      <c r="D52" s="115" t="str">
        <f>VLOOKUP(B52,'Salary -Dec-2024 (Full)'!$B$6:$D$286,3,0)</f>
        <v>Sr. Territory Manager</v>
      </c>
      <c r="E52" s="115" t="str">
        <f>VLOOKUP(B52,'Salary -Dec-2024 (Full)'!$B$6:$AE$286,4,0)</f>
        <v>Seed</v>
      </c>
      <c r="F52" s="266">
        <f>VLOOKUP(B52,'Salary -Dec-2024 (Full)'!$B$6:$AE$286,5,0)</f>
        <v>45598</v>
      </c>
      <c r="G52" s="66">
        <f>VLOOKUP(B52,'Salary -Dec-2024 (Full)'!$B$6:$AE$286,6,0)</f>
        <v>31</v>
      </c>
      <c r="H52" s="67">
        <f>VLOOKUP(B52,'Salary -Dec-2024 (Full)'!$B$6:$AE$286,7,0)</f>
        <v>0</v>
      </c>
      <c r="I52" s="66">
        <f t="shared" ref="I52:I55" si="103">G52-H52</f>
        <v>31</v>
      </c>
      <c r="J52" s="67">
        <f t="shared" ref="J52:J55" si="104">Q52/G52</f>
        <v>1161.2903225806451</v>
      </c>
      <c r="K52" s="67">
        <f>VLOOKUP(B52,'Salary -Dec-2024 (Full)'!$B$6:$AE$286,10,0)</f>
        <v>36000</v>
      </c>
      <c r="L52" s="68">
        <f t="shared" ref="L52:L55" si="105">K52*60%</f>
        <v>21600</v>
      </c>
      <c r="M52" s="68">
        <f t="shared" ref="M52:M55" si="106">K52*30%</f>
        <v>10800</v>
      </c>
      <c r="N52" s="68">
        <f t="shared" ref="N52:N55" si="107">K52*6%</f>
        <v>2160</v>
      </c>
      <c r="O52" s="68">
        <f t="shared" ref="O52:O55" si="108">K52*4%</f>
        <v>1440</v>
      </c>
      <c r="P52" s="69"/>
      <c r="Q52" s="70">
        <f t="shared" ref="Q52:Q55" si="109">SUM(L52:P52)</f>
        <v>36000</v>
      </c>
      <c r="R52" s="70">
        <f>VLOOKUP(B52,'Salary -Dec-2024 (Full)'!$B$6:$AE$383,17,0)</f>
        <v>36000</v>
      </c>
      <c r="S52" s="192">
        <f>VLOOKUP(B52,'Salary -Dec-2024 (Full)'!$B$6:$AE$383,18,0)</f>
        <v>0</v>
      </c>
      <c r="T52" s="192">
        <f>VLOOKUP(B52,'Salary -Dec-2024 (Full)'!$B$6:$AE$383,19,0)</f>
        <v>0</v>
      </c>
      <c r="U52" s="337">
        <f>VLOOKUP(B52,'Salary -Dec-2024 (Full)'!$B$6:$AE$383,20,0)</f>
        <v>0</v>
      </c>
      <c r="V52" s="71">
        <f t="shared" ref="V52:V55" si="110">SUM(R52:U52)</f>
        <v>36000</v>
      </c>
      <c r="W52" s="192">
        <f>VLOOKUP(B52,'Salary -Dec-2024 (Full)'!$B$6:$AE$383,22,0)</f>
        <v>0</v>
      </c>
      <c r="X52" s="192">
        <f>VLOOKUP(B52,'Salary -Dec-2024 (Full)'!$B$6:$AE$383,23,0)</f>
        <v>0</v>
      </c>
      <c r="Y52" s="337">
        <f>VLOOKUP(B52,'Salary -Dec-2024 (Full)'!$B$6:$AE$383,24,0)</f>
        <v>0</v>
      </c>
      <c r="Z52" s="192">
        <f>VLOOKUP(B52,'Salary -Dec-2024 (Full)'!$B$6:$AE$383,25,0)</f>
        <v>0</v>
      </c>
      <c r="AA52" s="192">
        <f>VLOOKUP(B52,'Salary -Dec-2024 (Full)'!$B$6:$AE$383,26,0)</f>
        <v>0</v>
      </c>
      <c r="AB52" s="379">
        <f t="shared" ref="AB52:AB55" si="111">SUM(W52:AA52)</f>
        <v>0</v>
      </c>
      <c r="AC52" s="71">
        <f t="shared" ref="AC52:AC55" si="112">ROUND(V52-AB52,0)</f>
        <v>36000</v>
      </c>
      <c r="AD52" s="74" t="str">
        <f>VLOOKUP(B52,'Salary -Dec-2024 (Full)'!$B$6:$AE$286,29,0)</f>
        <v>Bank</v>
      </c>
      <c r="AE52" s="65" t="str">
        <f>VLOOKUP(B52,'Salary -Dec-2024 (Full)'!$B$6:$AE$286,30,0)</f>
        <v>115.103.0210068</v>
      </c>
      <c r="AH52" s="198"/>
    </row>
    <row r="53" spans="1:34" s="61" customFormat="1" ht="30" customHeight="1">
      <c r="A53" s="62">
        <v>29</v>
      </c>
      <c r="B53" s="392" t="s">
        <v>1786</v>
      </c>
      <c r="C53" s="64" t="str">
        <f>VLOOKUP(B53,Attendance!$B$6:$D$385,2,0)</f>
        <v>Md Zakaria Islam</v>
      </c>
      <c r="D53" s="115" t="str">
        <f>VLOOKUP(B53,'Salary -Dec-2024 (Full)'!$B$6:$D$286,3,0)</f>
        <v>Territory Sales Officer</v>
      </c>
      <c r="E53" s="115" t="str">
        <f>VLOOKUP(B53,'Salary -Dec-2024 (Full)'!$B$6:$AE$286,4,0)</f>
        <v>Seed</v>
      </c>
      <c r="F53" s="266">
        <f>VLOOKUP(B53,'Salary -Dec-2024 (Full)'!$B$6:$AE$286,5,0)</f>
        <v>45598</v>
      </c>
      <c r="G53" s="66">
        <f>VLOOKUP(B53,'Salary -Dec-2024 (Full)'!$B$6:$AE$286,6,0)</f>
        <v>31</v>
      </c>
      <c r="H53" s="67">
        <f>VLOOKUP(B53,'Salary -Dec-2024 (Full)'!$B$6:$AE$286,7,0)</f>
        <v>0</v>
      </c>
      <c r="I53" s="66">
        <f t="shared" si="103"/>
        <v>31</v>
      </c>
      <c r="J53" s="67">
        <f t="shared" si="104"/>
        <v>709.67741935483866</v>
      </c>
      <c r="K53" s="67">
        <f>VLOOKUP(B53,'Salary -Dec-2024 (Full)'!$B$6:$AE$286,10,0)</f>
        <v>22000</v>
      </c>
      <c r="L53" s="68">
        <f t="shared" si="105"/>
        <v>13200</v>
      </c>
      <c r="M53" s="68">
        <f t="shared" si="106"/>
        <v>6600</v>
      </c>
      <c r="N53" s="68">
        <f t="shared" si="107"/>
        <v>1320</v>
      </c>
      <c r="O53" s="68">
        <f t="shared" si="108"/>
        <v>880</v>
      </c>
      <c r="P53" s="69"/>
      <c r="Q53" s="70">
        <f t="shared" si="109"/>
        <v>22000</v>
      </c>
      <c r="R53" s="70">
        <f>VLOOKUP(B53,'Salary -Dec-2024 (Full)'!$B$6:$AE$383,17,0)</f>
        <v>22000</v>
      </c>
      <c r="S53" s="192">
        <f>VLOOKUP(B53,'Salary -Dec-2024 (Full)'!$B$6:$AE$383,18,0)</f>
        <v>0</v>
      </c>
      <c r="T53" s="192">
        <f>VLOOKUP(B53,'Salary -Dec-2024 (Full)'!$B$6:$AE$383,19,0)</f>
        <v>0</v>
      </c>
      <c r="U53" s="337">
        <f>VLOOKUP(B53,'Salary -Dec-2024 (Full)'!$B$6:$AE$383,20,0)</f>
        <v>0</v>
      </c>
      <c r="V53" s="71">
        <f t="shared" si="110"/>
        <v>22000</v>
      </c>
      <c r="W53" s="192">
        <f>VLOOKUP(B53,'Salary -Dec-2024 (Full)'!$B$6:$AE$383,22,0)</f>
        <v>0</v>
      </c>
      <c r="X53" s="192">
        <f>VLOOKUP(B53,'Salary -Dec-2024 (Full)'!$B$6:$AE$383,23,0)</f>
        <v>0</v>
      </c>
      <c r="Y53" s="337">
        <f>VLOOKUP(B53,'Salary -Dec-2024 (Full)'!$B$6:$AE$383,24,0)</f>
        <v>0</v>
      </c>
      <c r="Z53" s="192">
        <f>VLOOKUP(B53,'Salary -Dec-2024 (Full)'!$B$6:$AE$383,25,0)</f>
        <v>0</v>
      </c>
      <c r="AA53" s="192">
        <f>VLOOKUP(B53,'Salary -Dec-2024 (Full)'!$B$6:$AE$383,26,0)</f>
        <v>0</v>
      </c>
      <c r="AB53" s="379">
        <f t="shared" si="111"/>
        <v>0</v>
      </c>
      <c r="AC53" s="71">
        <f t="shared" si="112"/>
        <v>22000</v>
      </c>
      <c r="AD53" s="74" t="str">
        <f>VLOOKUP(B53,'Salary -Dec-2024 (Full)'!$B$6:$AE$286,29,0)</f>
        <v>Bank</v>
      </c>
      <c r="AE53" s="65" t="str">
        <f>VLOOKUP(B53,'Salary -Dec-2024 (Full)'!$B$6:$AE$286,30,0)</f>
        <v>241.105.0089688</v>
      </c>
      <c r="AH53" s="198"/>
    </row>
    <row r="54" spans="1:34" s="61" customFormat="1" ht="30" customHeight="1">
      <c r="A54" s="62">
        <v>30</v>
      </c>
      <c r="B54" s="392" t="s">
        <v>1788</v>
      </c>
      <c r="C54" s="64" t="str">
        <f>VLOOKUP(B54,Attendance!$B$6:$D$385,2,0)</f>
        <v>Md Abu Sufiyan</v>
      </c>
      <c r="D54" s="115" t="str">
        <f>VLOOKUP(B54,'Salary -Dec-2024 (Full)'!$B$6:$D$286,3,0)</f>
        <v>Territory Sales Officer</v>
      </c>
      <c r="E54" s="115" t="str">
        <f>VLOOKUP(B54,'Salary -Dec-2024 (Full)'!$B$6:$AE$286,4,0)</f>
        <v>Seed</v>
      </c>
      <c r="F54" s="266">
        <f>VLOOKUP(B54,'Salary -Dec-2024 (Full)'!$B$6:$AE$286,5,0)</f>
        <v>45598</v>
      </c>
      <c r="G54" s="66">
        <f>VLOOKUP(B54,'Salary -Dec-2024 (Full)'!$B$6:$AE$286,6,0)</f>
        <v>31</v>
      </c>
      <c r="H54" s="67">
        <f>VLOOKUP(B54,'Salary -Dec-2024 (Full)'!$B$6:$AE$286,7,0)</f>
        <v>0</v>
      </c>
      <c r="I54" s="66">
        <f t="shared" si="103"/>
        <v>31</v>
      </c>
      <c r="J54" s="67">
        <f t="shared" si="104"/>
        <v>741.93548387096769</v>
      </c>
      <c r="K54" s="67">
        <f>VLOOKUP(B54,'Salary -Dec-2024 (Full)'!$B$6:$AE$286,10,0)</f>
        <v>23000</v>
      </c>
      <c r="L54" s="68">
        <f t="shared" si="105"/>
        <v>13800</v>
      </c>
      <c r="M54" s="68">
        <f t="shared" si="106"/>
        <v>6900</v>
      </c>
      <c r="N54" s="68">
        <f t="shared" si="107"/>
        <v>1380</v>
      </c>
      <c r="O54" s="68">
        <f t="shared" si="108"/>
        <v>920</v>
      </c>
      <c r="P54" s="69"/>
      <c r="Q54" s="70">
        <f t="shared" si="109"/>
        <v>23000</v>
      </c>
      <c r="R54" s="70">
        <f>VLOOKUP(B54,'Salary -Dec-2024 (Full)'!$B$6:$AE$383,17,0)</f>
        <v>23000</v>
      </c>
      <c r="S54" s="192">
        <f>VLOOKUP(B54,'Salary -Dec-2024 (Full)'!$B$6:$AE$383,18,0)</f>
        <v>0</v>
      </c>
      <c r="T54" s="192">
        <f>VLOOKUP(B54,'Salary -Dec-2024 (Full)'!$B$6:$AE$383,19,0)</f>
        <v>0</v>
      </c>
      <c r="U54" s="337">
        <f>VLOOKUP(B54,'Salary -Dec-2024 (Full)'!$B$6:$AE$383,20,0)</f>
        <v>0</v>
      </c>
      <c r="V54" s="71">
        <f t="shared" si="110"/>
        <v>23000</v>
      </c>
      <c r="W54" s="192">
        <f>VLOOKUP(B54,'Salary -Dec-2024 (Full)'!$B$6:$AE$383,22,0)</f>
        <v>0</v>
      </c>
      <c r="X54" s="192">
        <f>VLOOKUP(B54,'Salary -Dec-2024 (Full)'!$B$6:$AE$383,23,0)</f>
        <v>0</v>
      </c>
      <c r="Y54" s="337">
        <f>VLOOKUP(B54,'Salary -Dec-2024 (Full)'!$B$6:$AE$383,24,0)</f>
        <v>0</v>
      </c>
      <c r="Z54" s="192">
        <f>VLOOKUP(B54,'Salary -Dec-2024 (Full)'!$B$6:$AE$383,25,0)</f>
        <v>0</v>
      </c>
      <c r="AA54" s="192">
        <f>VLOOKUP(B54,'Salary -Dec-2024 (Full)'!$B$6:$AE$383,26,0)</f>
        <v>0</v>
      </c>
      <c r="AB54" s="379">
        <f t="shared" si="111"/>
        <v>0</v>
      </c>
      <c r="AC54" s="71">
        <f t="shared" si="112"/>
        <v>23000</v>
      </c>
      <c r="AD54" s="74" t="str">
        <f>VLOOKUP(B54,'Salary -Dec-2024 (Full)'!$B$6:$AE$286,29,0)</f>
        <v>Bank</v>
      </c>
      <c r="AE54" s="65" t="str">
        <f>VLOOKUP(B54,'Salary -Dec-2024 (Full)'!$B$6:$AE$286,30,0)</f>
        <v>178.158.0062449</v>
      </c>
      <c r="AH54" s="198"/>
    </row>
    <row r="55" spans="1:34" s="61" customFormat="1" ht="30" customHeight="1">
      <c r="A55" s="62">
        <v>31</v>
      </c>
      <c r="B55" s="392" t="s">
        <v>854</v>
      </c>
      <c r="C55" s="64" t="str">
        <f>VLOOKUP(B55,Attendance!$B$6:$D$385,2,0)</f>
        <v>Md Saiful Islam Rony</v>
      </c>
      <c r="D55" s="115" t="str">
        <f>VLOOKUP(B55,'Salary -Dec-2024 (Full)'!$B$6:$D$286,3,0)</f>
        <v>Territory Manager</v>
      </c>
      <c r="E55" s="115" t="str">
        <f>VLOOKUP(B55,'Salary -Dec-2024 (Full)'!$B$6:$AE$286,4,0)</f>
        <v>Seed</v>
      </c>
      <c r="F55" s="266">
        <f>VLOOKUP(B55,'Salary -Dec-2024 (Full)'!$B$6:$AE$286,5,0)</f>
        <v>45619</v>
      </c>
      <c r="G55" s="66">
        <f>VLOOKUP(B55,'Salary -Dec-2024 (Full)'!$B$6:$AE$286,6,0)</f>
        <v>31</v>
      </c>
      <c r="H55" s="67">
        <f>VLOOKUP(B55,'Salary -Dec-2024 (Full)'!$B$6:$AE$286,7,0)</f>
        <v>0</v>
      </c>
      <c r="I55" s="66">
        <f t="shared" si="103"/>
        <v>31</v>
      </c>
      <c r="J55" s="67">
        <f t="shared" si="104"/>
        <v>1032.258064516129</v>
      </c>
      <c r="K55" s="67">
        <f>VLOOKUP(B55,'Salary -Dec-2024 (Full)'!$B$6:$AE$286,10,0)</f>
        <v>32000</v>
      </c>
      <c r="L55" s="68">
        <f t="shared" si="105"/>
        <v>19200</v>
      </c>
      <c r="M55" s="68">
        <f t="shared" si="106"/>
        <v>9600</v>
      </c>
      <c r="N55" s="68">
        <f t="shared" si="107"/>
        <v>1920</v>
      </c>
      <c r="O55" s="68">
        <f t="shared" si="108"/>
        <v>1280</v>
      </c>
      <c r="P55" s="69"/>
      <c r="Q55" s="70">
        <f t="shared" si="109"/>
        <v>32000</v>
      </c>
      <c r="R55" s="70">
        <f>VLOOKUP(B55,'Salary -Dec-2024 (Full)'!$B$6:$AE$383,17,0)</f>
        <v>32000</v>
      </c>
      <c r="S55" s="192">
        <f>VLOOKUP(B55,'Salary -Dec-2024 (Full)'!$B$6:$AE$383,18,0)</f>
        <v>0</v>
      </c>
      <c r="T55" s="192">
        <f>VLOOKUP(B55,'Salary -Dec-2024 (Full)'!$B$6:$AE$383,19,0)</f>
        <v>0</v>
      </c>
      <c r="U55" s="337">
        <f>VLOOKUP(B55,'Salary -Dec-2024 (Full)'!$B$6:$AE$383,20,0)</f>
        <v>0</v>
      </c>
      <c r="V55" s="71">
        <f t="shared" si="110"/>
        <v>32000</v>
      </c>
      <c r="W55" s="192">
        <f>VLOOKUP(B55,'Salary -Dec-2024 (Full)'!$B$6:$AE$383,22,0)</f>
        <v>0</v>
      </c>
      <c r="X55" s="192">
        <f>VLOOKUP(B55,'Salary -Dec-2024 (Full)'!$B$6:$AE$383,23,0)</f>
        <v>0</v>
      </c>
      <c r="Y55" s="337">
        <f>VLOOKUP(B55,'Salary -Dec-2024 (Full)'!$B$6:$AE$383,24,0)</f>
        <v>0</v>
      </c>
      <c r="Z55" s="192">
        <f>VLOOKUP(B55,'Salary -Dec-2024 (Full)'!$B$6:$AE$383,25,0)</f>
        <v>2160</v>
      </c>
      <c r="AA55" s="192">
        <f>VLOOKUP(B55,'Salary -Dec-2024 (Full)'!$B$6:$AE$383,26,0)</f>
        <v>0</v>
      </c>
      <c r="AB55" s="379">
        <f t="shared" si="111"/>
        <v>2160</v>
      </c>
      <c r="AC55" s="71">
        <f t="shared" si="112"/>
        <v>29840</v>
      </c>
      <c r="AD55" s="74" t="str">
        <f>VLOOKUP(B55,'Salary -Dec-2024 (Full)'!$B$6:$AE$286,29,0)</f>
        <v>Bank</v>
      </c>
      <c r="AE55" s="65" t="str">
        <f>VLOOKUP(B55,'Salary -Dec-2024 (Full)'!$B$6:$AE$286,30,0)</f>
        <v>234.151.0016212</v>
      </c>
      <c r="AH55" s="198"/>
    </row>
    <row r="56" spans="1:34" s="30" customFormat="1" ht="30" customHeight="1">
      <c r="A56" s="1031" t="s">
        <v>67</v>
      </c>
      <c r="B56" s="1032"/>
      <c r="C56" s="1033"/>
      <c r="D56" s="1034"/>
      <c r="E56" s="1040"/>
      <c r="F56" s="1036"/>
      <c r="G56" s="1036"/>
      <c r="H56" s="1036"/>
      <c r="I56" s="1036"/>
      <c r="J56" s="1036"/>
      <c r="K56" s="1037">
        <f>SUM(K25:K55)</f>
        <v>958800</v>
      </c>
      <c r="L56" s="1037">
        <f t="shared" ref="L56:AC56" si="113">SUM(L25:L55)</f>
        <v>575280</v>
      </c>
      <c r="M56" s="1037">
        <f t="shared" si="113"/>
        <v>287640</v>
      </c>
      <c r="N56" s="1037">
        <f t="shared" si="113"/>
        <v>57528</v>
      </c>
      <c r="O56" s="1037">
        <f t="shared" si="113"/>
        <v>38352</v>
      </c>
      <c r="P56" s="1037">
        <f t="shared" si="113"/>
        <v>0</v>
      </c>
      <c r="Q56" s="1037">
        <f t="shared" si="113"/>
        <v>958800</v>
      </c>
      <c r="R56" s="1037">
        <f t="shared" si="113"/>
        <v>930574</v>
      </c>
      <c r="S56" s="1037">
        <f t="shared" si="113"/>
        <v>0</v>
      </c>
      <c r="T56" s="1037">
        <f t="shared" si="113"/>
        <v>0</v>
      </c>
      <c r="U56" s="1037">
        <f t="shared" si="113"/>
        <v>2800</v>
      </c>
      <c r="V56" s="1037">
        <f t="shared" si="113"/>
        <v>933374</v>
      </c>
      <c r="W56" s="1037">
        <f t="shared" si="113"/>
        <v>2425</v>
      </c>
      <c r="X56" s="1037">
        <f t="shared" si="113"/>
        <v>0</v>
      </c>
      <c r="Y56" s="1037">
        <f t="shared" si="113"/>
        <v>7524</v>
      </c>
      <c r="Z56" s="1037">
        <f t="shared" si="113"/>
        <v>21615</v>
      </c>
      <c r="AA56" s="1037">
        <f t="shared" si="113"/>
        <v>0</v>
      </c>
      <c r="AB56" s="1037">
        <f t="shared" si="113"/>
        <v>31564</v>
      </c>
      <c r="AC56" s="1037">
        <f t="shared" si="113"/>
        <v>901810</v>
      </c>
      <c r="AD56" s="1037"/>
      <c r="AE56" s="1039"/>
      <c r="AG56" s="61"/>
      <c r="AH56" s="198"/>
    </row>
    <row r="57" spans="1:34" s="47" customFormat="1" ht="9.75" customHeight="1">
      <c r="A57" s="201"/>
      <c r="B57" s="202"/>
      <c r="C57" s="203"/>
      <c r="D57" s="204"/>
      <c r="E57" s="205"/>
      <c r="F57" s="206"/>
      <c r="G57" s="208"/>
      <c r="H57" s="207"/>
      <c r="I57" s="208"/>
      <c r="J57" s="207"/>
      <c r="K57" s="274"/>
      <c r="L57" s="274"/>
      <c r="M57" s="274"/>
      <c r="N57" s="274"/>
      <c r="O57" s="274"/>
      <c r="P57" s="39"/>
      <c r="Q57" s="275"/>
      <c r="R57" s="275"/>
      <c r="S57" s="41"/>
      <c r="T57" s="41"/>
      <c r="U57" s="42"/>
      <c r="V57" s="276"/>
      <c r="W57" s="274"/>
      <c r="X57" s="44"/>
      <c r="Y57" s="41"/>
      <c r="Z57" s="41"/>
      <c r="AA57" s="41"/>
      <c r="AB57" s="45"/>
      <c r="AC57" s="45"/>
      <c r="AD57" s="277"/>
      <c r="AE57" s="35"/>
    </row>
    <row r="58" spans="1:34" s="30" customFormat="1" ht="30" customHeight="1" thickBot="1">
      <c r="A58" s="1031">
        <f>COUNT(A8:A57)</f>
        <v>42</v>
      </c>
      <c r="B58" s="1032"/>
      <c r="C58" s="1033"/>
      <c r="D58" s="1034"/>
      <c r="E58" s="1040"/>
      <c r="F58" s="1036"/>
      <c r="G58" s="1036"/>
      <c r="H58" s="1036"/>
      <c r="I58" s="1036"/>
      <c r="J58" s="1036"/>
      <c r="K58" s="1058">
        <f t="shared" ref="K58:AC58" si="114">+K56+K17+K10+K23</f>
        <v>1435400</v>
      </c>
      <c r="L58" s="1058">
        <f t="shared" si="114"/>
        <v>861240</v>
      </c>
      <c r="M58" s="1058">
        <f t="shared" si="114"/>
        <v>430620</v>
      </c>
      <c r="N58" s="1058">
        <f t="shared" si="114"/>
        <v>86124</v>
      </c>
      <c r="O58" s="1058">
        <f t="shared" si="114"/>
        <v>57416</v>
      </c>
      <c r="P58" s="1058">
        <f t="shared" si="114"/>
        <v>0</v>
      </c>
      <c r="Q58" s="1058">
        <f t="shared" si="114"/>
        <v>1435400</v>
      </c>
      <c r="R58" s="1058">
        <f t="shared" si="114"/>
        <v>1407174</v>
      </c>
      <c r="S58" s="1058">
        <f t="shared" si="114"/>
        <v>0</v>
      </c>
      <c r="T58" s="1058">
        <f t="shared" si="114"/>
        <v>0</v>
      </c>
      <c r="U58" s="1058">
        <f t="shared" si="114"/>
        <v>2800</v>
      </c>
      <c r="V58" s="1058">
        <f t="shared" si="114"/>
        <v>1409974</v>
      </c>
      <c r="W58" s="1058">
        <f t="shared" si="114"/>
        <v>7448</v>
      </c>
      <c r="X58" s="1058">
        <f t="shared" si="114"/>
        <v>0</v>
      </c>
      <c r="Y58" s="1058">
        <f t="shared" si="114"/>
        <v>16392</v>
      </c>
      <c r="Z58" s="1058">
        <f t="shared" si="114"/>
        <v>24124</v>
      </c>
      <c r="AA58" s="1058">
        <f t="shared" si="114"/>
        <v>0</v>
      </c>
      <c r="AB58" s="1058">
        <f t="shared" si="114"/>
        <v>47964</v>
      </c>
      <c r="AC58" s="1058">
        <f t="shared" si="114"/>
        <v>1362010</v>
      </c>
      <c r="AD58" s="1043"/>
      <c r="AE58" s="1097"/>
    </row>
    <row r="59" spans="1:34" s="142" customFormat="1" ht="30" customHeight="1" thickTop="1">
      <c r="A59" s="132"/>
      <c r="B59" s="133"/>
      <c r="C59" s="134"/>
      <c r="D59" s="135"/>
      <c r="E59" s="136"/>
      <c r="F59" s="137"/>
      <c r="G59" s="138"/>
      <c r="H59" s="138"/>
      <c r="I59" s="139"/>
      <c r="J59" s="139"/>
      <c r="K59" s="139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Y59" s="140"/>
      <c r="Z59" s="140"/>
      <c r="AA59" s="140"/>
      <c r="AB59" s="140"/>
      <c r="AC59" s="127" t="s">
        <v>29</v>
      </c>
      <c r="AD59" s="141"/>
      <c r="AE59" s="136"/>
    </row>
    <row r="60" spans="1:34" s="130" customFormat="1" ht="30" customHeight="1">
      <c r="A60" s="121"/>
      <c r="B60" s="121"/>
      <c r="C60" s="122"/>
      <c r="D60" s="143"/>
      <c r="E60" s="121"/>
      <c r="F60" s="122"/>
      <c r="G60" s="124"/>
      <c r="H60" s="124"/>
      <c r="I60" s="123"/>
      <c r="J60" s="124"/>
      <c r="K60" s="124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W60" s="14"/>
      <c r="Y60" s="126"/>
      <c r="Z60" s="125"/>
      <c r="AA60" s="125"/>
      <c r="AB60" s="125"/>
      <c r="AC60" s="238" t="s">
        <v>23</v>
      </c>
      <c r="AD60" s="128" t="s">
        <v>24</v>
      </c>
      <c r="AE60" s="15">
        <f>SUMIF(AD$8:AD$56,AC60,AC$8:AC$56)</f>
        <v>1355236</v>
      </c>
    </row>
    <row r="61" spans="1:34" s="130" customFormat="1" ht="30" customHeight="1">
      <c r="A61" s="121"/>
      <c r="B61" s="121"/>
      <c r="C61" s="122"/>
      <c r="D61" s="143"/>
      <c r="E61" s="121"/>
      <c r="F61" s="122"/>
      <c r="G61" s="124"/>
      <c r="H61" s="124"/>
      <c r="I61" s="123"/>
      <c r="J61" s="124"/>
      <c r="K61" s="124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W61" s="14"/>
      <c r="Y61" s="126"/>
      <c r="Z61" s="125"/>
      <c r="AA61" s="125"/>
      <c r="AB61" s="125"/>
      <c r="AC61" s="238" t="s">
        <v>25</v>
      </c>
      <c r="AD61" s="128" t="s">
        <v>24</v>
      </c>
      <c r="AE61" s="15">
        <f>SUMIF(AD$8:AD$56,AC61,AC$8:AC$56)</f>
        <v>6774</v>
      </c>
    </row>
    <row r="62" spans="1:34" s="130" customFormat="1" ht="30" customHeight="1" thickBot="1">
      <c r="A62" s="121"/>
      <c r="B62" s="121"/>
      <c r="C62" s="122"/>
      <c r="D62" s="143"/>
      <c r="E62" s="121"/>
      <c r="F62" s="122"/>
      <c r="G62" s="124"/>
      <c r="H62" s="124"/>
      <c r="I62" s="123"/>
      <c r="J62" s="124"/>
      <c r="K62" s="124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W62" s="14"/>
      <c r="Y62" s="126"/>
      <c r="Z62" s="125"/>
      <c r="AA62" s="125"/>
      <c r="AB62" s="125"/>
      <c r="AC62" s="127"/>
      <c r="AD62" s="128"/>
      <c r="AE62" s="144">
        <f>SUM(AE60:AE61)</f>
        <v>1362010</v>
      </c>
    </row>
    <row r="63" spans="1:34" s="130" customFormat="1" ht="19.5" customHeight="1" thickTop="1">
      <c r="A63" s="121"/>
      <c r="B63" s="121"/>
      <c r="C63" s="122"/>
      <c r="D63" s="143"/>
      <c r="E63" s="121"/>
      <c r="F63" s="122"/>
      <c r="G63" s="124"/>
      <c r="H63" s="124"/>
      <c r="I63" s="123"/>
      <c r="J63" s="124"/>
      <c r="K63" s="124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W63" s="14"/>
      <c r="Y63" s="126"/>
      <c r="Z63" s="125"/>
      <c r="AA63" s="125"/>
      <c r="AB63" s="125"/>
      <c r="AC63" s="123"/>
      <c r="AD63" s="145"/>
      <c r="AE63" s="145"/>
    </row>
    <row r="64" spans="1:34" s="130" customFormat="1" ht="19.5" customHeight="1">
      <c r="A64" s="121"/>
      <c r="B64" s="121"/>
      <c r="C64" s="122"/>
      <c r="D64" s="143"/>
      <c r="E64" s="121"/>
      <c r="F64" s="122"/>
      <c r="G64" s="124"/>
      <c r="H64" s="124"/>
      <c r="I64" s="123"/>
      <c r="J64" s="124"/>
      <c r="K64" s="124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4"/>
      <c r="W64" s="14"/>
      <c r="X64" s="125"/>
      <c r="Y64" s="126"/>
      <c r="Z64" s="125"/>
      <c r="AA64" s="125"/>
      <c r="AB64" s="125"/>
      <c r="AC64" s="123"/>
      <c r="AD64" s="145"/>
      <c r="AE64" s="123"/>
    </row>
    <row r="65" spans="1:31" s="17" customFormat="1" ht="16.5">
      <c r="A65" s="121"/>
      <c r="B65" s="121"/>
      <c r="C65" s="122"/>
      <c r="D65" s="143"/>
      <c r="E65" s="121"/>
      <c r="F65" s="122"/>
      <c r="G65" s="124"/>
      <c r="H65" s="124"/>
      <c r="I65" s="123"/>
      <c r="J65" s="124"/>
      <c r="K65" s="124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4"/>
      <c r="W65" s="14"/>
      <c r="X65" s="125"/>
      <c r="Y65" s="126"/>
      <c r="Z65" s="125"/>
      <c r="AA65" s="125"/>
      <c r="AB65" s="125"/>
      <c r="AC65" s="18"/>
      <c r="AD65" s="18"/>
      <c r="AE65" s="18"/>
    </row>
    <row r="66" spans="1:31" s="130" customFormat="1" ht="19.5" customHeight="1">
      <c r="A66" s="121"/>
      <c r="B66" s="121"/>
      <c r="C66" s="122"/>
      <c r="D66" s="143"/>
      <c r="E66" s="121"/>
      <c r="F66" s="122"/>
      <c r="G66" s="124"/>
      <c r="H66" s="124"/>
      <c r="I66" s="123"/>
      <c r="J66" s="124"/>
      <c r="K66" s="124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45"/>
      <c r="AE66" s="145"/>
    </row>
    <row r="67" spans="1:31" s="155" customFormat="1" ht="19.5" customHeight="1">
      <c r="A67" s="121"/>
      <c r="B67" s="121"/>
      <c r="C67" s="122"/>
      <c r="D67" s="143"/>
      <c r="E67" s="121"/>
      <c r="F67" s="122"/>
      <c r="G67" s="124"/>
      <c r="H67" s="124"/>
      <c r="I67" s="123"/>
      <c r="J67" s="124"/>
      <c r="K67" s="124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45"/>
      <c r="AE67" s="145"/>
    </row>
    <row r="68" spans="1:31" ht="21" customHeight="1">
      <c r="A68" s="121"/>
      <c r="B68" s="121"/>
      <c r="C68" s="122"/>
      <c r="D68" s="143"/>
      <c r="E68" s="121"/>
      <c r="F68" s="122"/>
      <c r="G68" s="124"/>
      <c r="H68" s="124"/>
      <c r="I68" s="123"/>
      <c r="J68" s="124"/>
      <c r="K68" s="124"/>
      <c r="L68" s="130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30"/>
      <c r="X68" s="146"/>
      <c r="Y68" s="123"/>
      <c r="Z68" s="123"/>
      <c r="AA68" s="123"/>
      <c r="AB68" s="123"/>
      <c r="AC68" s="778"/>
      <c r="AD68" s="778"/>
      <c r="AE68" s="778"/>
    </row>
    <row r="69" spans="1:31" s="167" customFormat="1" ht="18">
      <c r="A69" s="17"/>
      <c r="B69" s="18"/>
      <c r="C69" s="18"/>
      <c r="D69" s="147"/>
      <c r="E69" s="148"/>
      <c r="F69" s="18"/>
      <c r="G69" s="18"/>
      <c r="H69" s="248"/>
      <c r="I69" s="18"/>
      <c r="J69" s="18"/>
      <c r="K69" s="18"/>
      <c r="L69" s="18"/>
      <c r="M69" s="18"/>
      <c r="N69" s="18"/>
      <c r="O69" s="17"/>
      <c r="P69" s="17"/>
      <c r="Q69" s="18"/>
      <c r="R69" s="18"/>
      <c r="S69" s="18"/>
      <c r="T69" s="18"/>
      <c r="U69" s="18"/>
      <c r="V69" s="18"/>
      <c r="W69" s="17"/>
      <c r="X69" s="17"/>
      <c r="Y69" s="17"/>
      <c r="Z69" s="18"/>
      <c r="AA69" s="18"/>
      <c r="AB69" s="18"/>
      <c r="AC69" s="779"/>
      <c r="AD69" s="779"/>
      <c r="AE69" s="779"/>
    </row>
    <row r="70" spans="1:31" s="167" customFormat="1" ht="18">
      <c r="A70" s="121"/>
      <c r="B70" s="121"/>
      <c r="C70" s="122"/>
      <c r="D70" s="143"/>
      <c r="E70" s="121"/>
      <c r="F70" s="122"/>
      <c r="G70" s="124"/>
      <c r="H70" s="124"/>
      <c r="I70" s="123"/>
      <c r="J70" s="124"/>
      <c r="K70" s="124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779"/>
      <c r="AD70" s="779"/>
      <c r="AE70" s="779"/>
    </row>
    <row r="71" spans="1:31" s="167" customFormat="1" ht="18">
      <c r="A71" s="149"/>
      <c r="B71" s="149"/>
      <c r="C71" s="150"/>
      <c r="D71" s="151"/>
      <c r="E71" s="149"/>
      <c r="F71" s="150"/>
      <c r="G71" s="152"/>
      <c r="H71" s="152"/>
      <c r="I71" s="153"/>
      <c r="J71" s="152"/>
      <c r="K71" s="152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23"/>
      <c r="X71" s="153"/>
      <c r="Y71" s="153"/>
      <c r="Z71" s="153"/>
      <c r="AA71" s="153"/>
      <c r="AB71" s="123"/>
      <c r="AC71" s="174"/>
      <c r="AD71" s="779"/>
      <c r="AE71" s="779"/>
    </row>
    <row r="72" spans="1:31" s="167" customFormat="1" ht="18">
      <c r="A72" s="156"/>
      <c r="B72" s="156"/>
      <c r="C72" s="157"/>
      <c r="D72" s="158"/>
      <c r="E72" s="156"/>
      <c r="F72" s="157"/>
      <c r="G72" s="159"/>
      <c r="H72" s="160"/>
      <c r="I72" s="157"/>
      <c r="J72" s="160"/>
      <c r="K72" s="160"/>
      <c r="L72" s="161"/>
      <c r="M72" s="161"/>
      <c r="N72" s="161"/>
      <c r="O72" s="161"/>
      <c r="P72" s="161"/>
      <c r="Q72" s="162"/>
      <c r="R72" s="163"/>
      <c r="S72" s="157"/>
      <c r="T72" s="156"/>
      <c r="U72" s="157"/>
      <c r="V72" s="164"/>
      <c r="W72" s="165"/>
      <c r="X72" s="157"/>
      <c r="Y72" s="157"/>
      <c r="Z72" s="156"/>
      <c r="AA72" s="156"/>
      <c r="AB72" s="778"/>
      <c r="AC72" s="174"/>
      <c r="AD72" s="779"/>
      <c r="AE72" s="779"/>
    </row>
    <row r="73" spans="1:31" s="167" customFormat="1" ht="18">
      <c r="A73" s="166"/>
      <c r="B73" s="166"/>
      <c r="D73" s="168"/>
      <c r="E73" s="166"/>
      <c r="G73" s="169"/>
      <c r="H73" s="170"/>
      <c r="J73" s="170"/>
      <c r="K73" s="170"/>
      <c r="L73" s="171"/>
      <c r="M73" s="171"/>
      <c r="N73" s="171"/>
      <c r="O73" s="171"/>
      <c r="P73" s="171"/>
      <c r="Q73" s="172"/>
      <c r="R73" s="173"/>
      <c r="T73" s="166"/>
      <c r="V73" s="173"/>
      <c r="W73" s="174"/>
      <c r="X73" s="175"/>
      <c r="Y73" s="176"/>
      <c r="Z73" s="166"/>
      <c r="AA73" s="166"/>
      <c r="AB73" s="166"/>
      <c r="AD73" s="166"/>
      <c r="AE73" s="166"/>
    </row>
    <row r="74" spans="1:31" ht="18">
      <c r="A74" s="166"/>
      <c r="B74" s="166"/>
      <c r="C74" s="167"/>
      <c r="D74" s="168"/>
      <c r="E74" s="166"/>
      <c r="F74" s="167"/>
      <c r="G74" s="167"/>
      <c r="H74" s="170"/>
      <c r="I74" s="167"/>
      <c r="J74" s="169"/>
      <c r="K74" s="169"/>
      <c r="L74" s="171"/>
      <c r="M74" s="172"/>
      <c r="N74" s="167"/>
      <c r="O74" s="171"/>
      <c r="P74" s="167"/>
      <c r="Q74" s="167"/>
      <c r="R74" s="173"/>
      <c r="S74" s="167"/>
      <c r="T74" s="166"/>
      <c r="U74" s="167"/>
      <c r="V74" s="173"/>
      <c r="W74" s="174"/>
      <c r="X74" s="167"/>
      <c r="Y74" s="167"/>
      <c r="Z74" s="166"/>
      <c r="AA74" s="166"/>
      <c r="AB74" s="166"/>
      <c r="AC74" s="167"/>
      <c r="AD74" s="166"/>
    </row>
    <row r="75" spans="1:31" ht="18">
      <c r="A75" s="167"/>
      <c r="B75" s="167"/>
      <c r="C75" s="167"/>
      <c r="D75" s="168"/>
      <c r="E75" s="166"/>
      <c r="F75" s="167"/>
      <c r="G75" s="167"/>
      <c r="H75" s="170"/>
      <c r="I75" s="167"/>
      <c r="J75" s="170"/>
      <c r="K75" s="170"/>
      <c r="L75" s="167"/>
      <c r="M75" s="167"/>
      <c r="N75" s="167"/>
      <c r="O75" s="167"/>
      <c r="P75" s="167"/>
      <c r="Q75" s="167"/>
      <c r="R75" s="166"/>
      <c r="S75" s="177"/>
      <c r="T75" s="178"/>
      <c r="U75" s="167"/>
      <c r="V75" s="173"/>
      <c r="W75" s="174"/>
      <c r="X75" s="167"/>
      <c r="Y75" s="167"/>
      <c r="Z75" s="167"/>
      <c r="AA75" s="167"/>
      <c r="AB75" s="167"/>
    </row>
    <row r="76" spans="1:31" ht="18">
      <c r="A76" s="167"/>
      <c r="B76" s="167"/>
      <c r="C76" s="167"/>
      <c r="D76" s="168"/>
      <c r="E76" s="166"/>
      <c r="F76" s="179"/>
      <c r="G76" s="167"/>
      <c r="H76" s="170"/>
      <c r="I76" s="167"/>
      <c r="J76" s="170"/>
      <c r="K76" s="170"/>
      <c r="L76" s="167"/>
      <c r="M76" s="167"/>
      <c r="N76" s="167"/>
      <c r="O76" s="167"/>
      <c r="P76" s="167"/>
      <c r="Q76" s="167"/>
      <c r="R76" s="166"/>
      <c r="S76" s="177"/>
      <c r="T76" s="178"/>
      <c r="U76" s="167"/>
      <c r="V76" s="173"/>
      <c r="W76" s="174"/>
      <c r="X76" s="167"/>
      <c r="Y76" s="167"/>
      <c r="Z76" s="167"/>
      <c r="AA76" s="167"/>
      <c r="AB76" s="167"/>
    </row>
    <row r="77" spans="1:31" ht="18">
      <c r="A77" s="167"/>
      <c r="B77" s="167"/>
      <c r="C77" s="167"/>
      <c r="D77" s="168"/>
      <c r="E77" s="166"/>
      <c r="F77" s="167"/>
      <c r="G77" s="167"/>
      <c r="H77" s="170"/>
      <c r="I77" s="167"/>
      <c r="J77" s="170"/>
      <c r="K77" s="170"/>
      <c r="L77" s="167"/>
      <c r="M77" s="167"/>
      <c r="N77" s="167"/>
      <c r="O77" s="167"/>
      <c r="P77" s="167"/>
      <c r="Q77" s="167"/>
      <c r="R77" s="166"/>
      <c r="S77" s="167"/>
      <c r="T77" s="167"/>
      <c r="U77" s="167"/>
      <c r="V77" s="173"/>
      <c r="W77" s="174"/>
      <c r="X77" s="167"/>
      <c r="Y77" s="167"/>
      <c r="Z77" s="167"/>
      <c r="AA77" s="167"/>
      <c r="AB77" s="167"/>
    </row>
    <row r="78" spans="1:31" ht="18">
      <c r="A78" s="167"/>
      <c r="B78" s="167"/>
      <c r="C78" s="167"/>
      <c r="F78" s="167"/>
      <c r="J78" s="170"/>
      <c r="K78" s="170"/>
      <c r="L78" s="167"/>
      <c r="M78" s="167"/>
      <c r="N78" s="167"/>
      <c r="O78" s="167"/>
      <c r="R78" s="166"/>
      <c r="AB78" s="167"/>
    </row>
    <row r="95" spans="2:2" ht="20.25">
      <c r="B95" s="180"/>
    </row>
  </sheetData>
  <autoFilter ref="A6:AH6" xr:uid="{00000000-0001-0000-0A00-000000000000}"/>
  <mergeCells count="24">
    <mergeCell ref="AD5:AD6"/>
    <mergeCell ref="AE5:AE6"/>
    <mergeCell ref="R5:R6"/>
    <mergeCell ref="S5:U5"/>
    <mergeCell ref="V5:V6"/>
    <mergeCell ref="AB5:AB6"/>
    <mergeCell ref="AC5:AC6"/>
    <mergeCell ref="W5:AA5"/>
    <mergeCell ref="Q5:Q6"/>
    <mergeCell ref="A1:AE1"/>
    <mergeCell ref="A2:AE2"/>
    <mergeCell ref="A3:AE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P5"/>
  </mergeCells>
  <printOptions horizontalCentered="1"/>
  <pageMargins left="0.19685039370078741" right="0" top="0.59055118110236227" bottom="0.39370078740157483" header="0" footer="0"/>
  <pageSetup paperSize="9" scale="50" fitToHeight="0" orientation="landscape" verticalDpi="1200" r:id="rId1"/>
  <headerFooter>
    <oddFooter xml:space="preserve">&amp;C                                                                                             &amp;R&amp;"-,Bold"&amp;14Page &amp;P of &amp;N  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5">
    <tabColor theme="7" tint="0.39997558519241921"/>
  </sheetPr>
  <dimension ref="A1:AO75"/>
  <sheetViews>
    <sheetView view="pageBreakPreview" zoomScale="85" zoomScaleNormal="100" zoomScaleSheetLayoutView="85" zoomScalePageLayoutView="80" workbookViewId="0">
      <selection activeCell="AM1" sqref="AM1:AV1048576"/>
    </sheetView>
  </sheetViews>
  <sheetFormatPr defaultColWidth="9.140625" defaultRowHeight="12.75"/>
  <cols>
    <col min="1" max="1" width="4.140625" style="156" customWidth="1"/>
    <col min="2" max="2" width="13.42578125" style="156" customWidth="1"/>
    <col min="3" max="3" width="21.7109375" style="157" customWidth="1"/>
    <col min="4" max="4" width="16.7109375" style="158" customWidth="1"/>
    <col min="5" max="5" width="16" style="156" customWidth="1"/>
    <col min="6" max="6" width="10.5703125" style="157" customWidth="1"/>
    <col min="7" max="7" width="5.5703125" style="159" customWidth="1"/>
    <col min="8" max="8" width="5.5703125" style="160" customWidth="1"/>
    <col min="9" max="9" width="5.7109375" style="157" customWidth="1"/>
    <col min="10" max="10" width="8.85546875" style="160" customWidth="1"/>
    <col min="11" max="11" width="9.42578125" style="160" customWidth="1"/>
    <col min="12" max="12" width="10.85546875" style="161" customWidth="1"/>
    <col min="13" max="13" width="11" style="161" customWidth="1"/>
    <col min="14" max="15" width="8.5703125" style="161" customWidth="1"/>
    <col min="16" max="16" width="7.42578125" style="161" customWidth="1"/>
    <col min="17" max="17" width="9.7109375" style="162" customWidth="1"/>
    <col min="18" max="18" width="9.7109375" style="163" customWidth="1"/>
    <col min="19" max="19" width="7.5703125" style="157" customWidth="1"/>
    <col min="20" max="20" width="7.7109375" style="156" customWidth="1"/>
    <col min="21" max="21" width="8" style="157" customWidth="1"/>
    <col min="22" max="22" width="8.42578125" style="163" customWidth="1"/>
    <col min="23" max="23" width="7.7109375" style="165" customWidth="1"/>
    <col min="24" max="24" width="7.7109375" style="157" customWidth="1"/>
    <col min="25" max="25" width="8" style="157" customWidth="1"/>
    <col min="26" max="27" width="7.140625" style="156" customWidth="1"/>
    <col min="28" max="28" width="7.85546875" style="156" customWidth="1"/>
    <col min="29" max="29" width="8.7109375" style="156" customWidth="1"/>
    <col min="30" max="30" width="6.28515625" style="156" bestFit="1" customWidth="1"/>
    <col min="31" max="31" width="15" style="156" bestFit="1" customWidth="1"/>
    <col min="32" max="32" width="10.85546875" style="157" customWidth="1"/>
    <col min="33" max="33" width="13.42578125" style="157" bestFit="1" customWidth="1"/>
    <col min="34" max="34" width="9" style="157" bestFit="1" customWidth="1"/>
    <col min="35" max="35" width="23" style="325" customWidth="1"/>
    <col min="36" max="16384" width="9.140625" style="157"/>
  </cols>
  <sheetData>
    <row r="1" spans="1:41" s="26" customFormat="1" ht="25.5">
      <c r="A1" s="1157" t="s">
        <v>1355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  <c r="O1" s="1157"/>
      <c r="P1" s="1157"/>
      <c r="Q1" s="1157"/>
      <c r="R1" s="1157"/>
      <c r="S1" s="1157"/>
      <c r="T1" s="1157"/>
      <c r="U1" s="1157"/>
      <c r="V1" s="1157"/>
      <c r="W1" s="1157"/>
      <c r="X1" s="1157"/>
      <c r="Y1" s="1157"/>
      <c r="Z1" s="1157"/>
      <c r="AA1" s="1157"/>
      <c r="AB1" s="1157"/>
      <c r="AC1" s="1157"/>
      <c r="AD1" s="1157"/>
      <c r="AE1" s="1157"/>
      <c r="AI1" s="316"/>
    </row>
    <row r="2" spans="1:41" s="26" customFormat="1" ht="18">
      <c r="A2" s="1158" t="s">
        <v>1</v>
      </c>
      <c r="B2" s="1158"/>
      <c r="C2" s="1158"/>
      <c r="D2" s="1158"/>
      <c r="E2" s="1158"/>
      <c r="F2" s="1158"/>
      <c r="G2" s="1158"/>
      <c r="H2" s="1158"/>
      <c r="I2" s="1158"/>
      <c r="J2" s="1158"/>
      <c r="K2" s="1158"/>
      <c r="L2" s="1158"/>
      <c r="M2" s="1158"/>
      <c r="N2" s="1158"/>
      <c r="O2" s="1158"/>
      <c r="P2" s="1158"/>
      <c r="Q2" s="1158"/>
      <c r="R2" s="1158"/>
      <c r="S2" s="1158"/>
      <c r="T2" s="1158"/>
      <c r="U2" s="1158"/>
      <c r="V2" s="1158"/>
      <c r="W2" s="1158"/>
      <c r="X2" s="1158"/>
      <c r="Y2" s="1158"/>
      <c r="Z2" s="1158"/>
      <c r="AA2" s="1158"/>
      <c r="AB2" s="1158"/>
      <c r="AC2" s="1158"/>
      <c r="AD2" s="1158"/>
      <c r="AE2" s="1158"/>
      <c r="AI2" s="316"/>
    </row>
    <row r="3" spans="1:41" s="26" customFormat="1" ht="18">
      <c r="A3" s="1158" t="str">
        <f>Seed!A3</f>
        <v>Salary Statement for the month of  December - 2024</v>
      </c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E3" s="1158"/>
      <c r="AI3" s="316"/>
    </row>
    <row r="4" spans="1:41" s="26" customFormat="1" ht="20.25">
      <c r="A4" s="27"/>
      <c r="B4" s="27"/>
      <c r="C4" s="27"/>
      <c r="D4" s="28"/>
      <c r="E4" s="27"/>
      <c r="F4" s="27"/>
      <c r="G4" s="27"/>
      <c r="H4" s="246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9" t="s">
        <v>2</v>
      </c>
      <c r="AI4" s="316"/>
    </row>
    <row r="5" spans="1:41" s="30" customFormat="1" ht="18" customHeight="1">
      <c r="A5" s="1159" t="s">
        <v>3</v>
      </c>
      <c r="B5" s="1177" t="s">
        <v>30</v>
      </c>
      <c r="C5" s="1178" t="s">
        <v>31</v>
      </c>
      <c r="D5" s="1160" t="s">
        <v>32</v>
      </c>
      <c r="E5" s="1160" t="s">
        <v>503</v>
      </c>
      <c r="F5" s="1160" t="s">
        <v>34</v>
      </c>
      <c r="G5" s="1162" t="s">
        <v>35</v>
      </c>
      <c r="H5" s="1162" t="s">
        <v>1782</v>
      </c>
      <c r="I5" s="1162" t="s">
        <v>1783</v>
      </c>
      <c r="J5" s="1162" t="s">
        <v>38</v>
      </c>
      <c r="K5" s="1147" t="s">
        <v>7</v>
      </c>
      <c r="L5" s="1163" t="s">
        <v>39</v>
      </c>
      <c r="M5" s="1163"/>
      <c r="N5" s="1163"/>
      <c r="O5" s="1163"/>
      <c r="P5" s="1163"/>
      <c r="Q5" s="1149" t="s">
        <v>7</v>
      </c>
      <c r="R5" s="1149" t="s">
        <v>8</v>
      </c>
      <c r="S5" s="1150" t="s">
        <v>9</v>
      </c>
      <c r="T5" s="1150"/>
      <c r="U5" s="1150"/>
      <c r="V5" s="1151" t="s">
        <v>40</v>
      </c>
      <c r="W5" s="1153" t="s">
        <v>10</v>
      </c>
      <c r="X5" s="1154"/>
      <c r="Y5" s="1154"/>
      <c r="Z5" s="1154"/>
      <c r="AA5" s="1155"/>
      <c r="AB5" s="1151" t="s">
        <v>11</v>
      </c>
      <c r="AC5" s="1152" t="s">
        <v>41</v>
      </c>
      <c r="AD5" s="1146" t="s">
        <v>42</v>
      </c>
      <c r="AE5" s="1164" t="s">
        <v>43</v>
      </c>
      <c r="AI5" s="317"/>
    </row>
    <row r="6" spans="1:41" s="272" customFormat="1" ht="88.5" customHeight="1">
      <c r="A6" s="1159"/>
      <c r="B6" s="1177"/>
      <c r="C6" s="1178"/>
      <c r="D6" s="1160"/>
      <c r="E6" s="1160"/>
      <c r="F6" s="1160"/>
      <c r="G6" s="1162"/>
      <c r="H6" s="1162"/>
      <c r="I6" s="1162"/>
      <c r="J6" s="1162"/>
      <c r="K6" s="1148"/>
      <c r="L6" s="1027" t="s">
        <v>13</v>
      </c>
      <c r="M6" s="1027" t="s">
        <v>14</v>
      </c>
      <c r="N6" s="1028" t="s">
        <v>15</v>
      </c>
      <c r="O6" s="1028" t="s">
        <v>16</v>
      </c>
      <c r="P6" s="1028" t="s">
        <v>17</v>
      </c>
      <c r="Q6" s="1149"/>
      <c r="R6" s="1149"/>
      <c r="S6" s="1029" t="s">
        <v>18</v>
      </c>
      <c r="T6" s="1029" t="s">
        <v>19</v>
      </c>
      <c r="U6" s="1029" t="s">
        <v>623</v>
      </c>
      <c r="V6" s="1151"/>
      <c r="W6" s="1029" t="s">
        <v>21</v>
      </c>
      <c r="X6" s="1029" t="s">
        <v>585</v>
      </c>
      <c r="Y6" s="1092" t="s">
        <v>1249</v>
      </c>
      <c r="Z6" s="1029" t="s">
        <v>536</v>
      </c>
      <c r="AA6" s="1029" t="s">
        <v>1429</v>
      </c>
      <c r="AB6" s="1151"/>
      <c r="AC6" s="1152"/>
      <c r="AD6" s="1146"/>
      <c r="AE6" s="1164"/>
      <c r="AI6" s="318"/>
    </row>
    <row r="7" spans="1:41" s="47" customFormat="1" ht="24" customHeight="1">
      <c r="A7" s="89" t="s">
        <v>836</v>
      </c>
      <c r="B7" s="90"/>
      <c r="C7" s="90"/>
      <c r="D7" s="281"/>
      <c r="E7" s="90"/>
      <c r="F7" s="90"/>
      <c r="G7" s="90"/>
      <c r="H7" s="284"/>
      <c r="I7" s="90"/>
      <c r="J7" s="90"/>
      <c r="K7" s="119"/>
      <c r="L7" s="119"/>
      <c r="M7" s="119"/>
      <c r="N7" s="119"/>
      <c r="O7" s="119"/>
      <c r="P7" s="119"/>
      <c r="Q7" s="119"/>
      <c r="R7" s="268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268"/>
      <c r="AD7" s="119"/>
      <c r="AE7" s="120"/>
      <c r="AG7" s="61"/>
      <c r="AH7" s="198"/>
      <c r="AI7" s="320"/>
    </row>
    <row r="8" spans="1:41" s="61" customFormat="1" ht="20.25" customHeight="1">
      <c r="A8" s="48">
        <v>1</v>
      </c>
      <c r="B8" s="49" t="s">
        <v>893</v>
      </c>
      <c r="C8" s="50" t="str">
        <f>VLOOKUP(B8,'Salary -Dec-2024 (Full)'!$B$8:$AE$331,2,0)</f>
        <v>CAHM Enayetullah</v>
      </c>
      <c r="D8" s="279" t="str">
        <f>VLOOKUP(B8,'Salary -Dec-2024 (Full)'!$B$8:$AE$331,3,0)</f>
        <v>Consultant</v>
      </c>
      <c r="E8" s="51" t="str">
        <f>VLOOKUP(B8,'Salary -Dec-2024 (Full)'!$B$8:$AE$331,4,0)</f>
        <v>F&amp;A</v>
      </c>
      <c r="F8" s="288">
        <f>VLOOKUP(B8,'Salary -Dec-2024 (Full)'!$B$8:$AE$331,5,0)</f>
        <v>45171</v>
      </c>
      <c r="G8" s="52">
        <f>VLOOKUP(B8,'Salary -Dec-2024 (Full)'!$B$8:$AE$331,6,0)</f>
        <v>31</v>
      </c>
      <c r="H8" s="53">
        <f>VLOOKUP(B$7:B$37,Attendance!$B$6:$L$385,11,0)</f>
        <v>0</v>
      </c>
      <c r="I8" s="52">
        <f t="shared" ref="I8:I9" si="0">G8-H8</f>
        <v>31</v>
      </c>
      <c r="J8" s="53">
        <f t="shared" ref="J8:J9" si="1">Q8/G8</f>
        <v>3225.8064516129034</v>
      </c>
      <c r="K8" s="58">
        <f>VLOOKUP(B8,'Salary -Dec-2024 (Full)'!$B$6:$AE$383,10,0)</f>
        <v>100000</v>
      </c>
      <c r="L8" s="54">
        <f t="shared" ref="L8:L9" si="2">K8*60%</f>
        <v>60000</v>
      </c>
      <c r="M8" s="54">
        <f t="shared" ref="M8:M9" si="3">K8*30%</f>
        <v>30000</v>
      </c>
      <c r="N8" s="54">
        <f t="shared" ref="N8:N9" si="4">K8*6%</f>
        <v>6000</v>
      </c>
      <c r="O8" s="54">
        <f t="shared" ref="O8:O9" si="5">K8*4%</f>
        <v>4000</v>
      </c>
      <c r="P8" s="55">
        <v>0</v>
      </c>
      <c r="Q8" s="56">
        <f>SUM(L8:P8)</f>
        <v>100000</v>
      </c>
      <c r="R8" s="188">
        <f>VLOOKUP(B8,'Salary -Dec-2024 (Full)'!$B$6:$AE$383,17,0)</f>
        <v>100000</v>
      </c>
      <c r="S8" s="58">
        <f>VLOOKUP(B8,'Salary -Dec-2024 (Full)'!$B$6:$AE$383,18,0)</f>
        <v>0</v>
      </c>
      <c r="T8" s="58">
        <f>VLOOKUP(B8,'Salary -Dec-2024 (Full)'!$B$6:$AE$383,19,0)</f>
        <v>0</v>
      </c>
      <c r="U8" s="393">
        <f>VLOOKUP(B8,'Salary -Dec-2024 (Full)'!$B$6:$AE$383,20,0)</f>
        <v>0</v>
      </c>
      <c r="V8" s="57">
        <f>SUM(R8:U8)</f>
        <v>100000</v>
      </c>
      <c r="W8" s="58">
        <f>VLOOKUP(B8,'Salary -Dec-2024 (Full)'!$B$6:$AE$383,22,0)</f>
        <v>10000</v>
      </c>
      <c r="X8" s="58">
        <f>VLOOKUP(B8,'Salary -Dec-2024 (Full)'!$B$6:$AE$383,23,0)</f>
        <v>0</v>
      </c>
      <c r="Y8" s="393">
        <f>VLOOKUP(B8,'Salary -Dec-2024 (Full)'!$B$6:$AE$383,24,0)</f>
        <v>3000</v>
      </c>
      <c r="Z8" s="58">
        <f>VLOOKUP(B8,'Salary -Dec-2024 (Full)'!$B$6:$AE$383,25,0)</f>
        <v>0</v>
      </c>
      <c r="AA8" s="58">
        <f>VLOOKUP(B8,'Salary -Dec-2024 (Full)'!$B$6:$AE$383,26,0)</f>
        <v>0</v>
      </c>
      <c r="AB8" s="588">
        <f>SUM(W8:AA8)</f>
        <v>13000</v>
      </c>
      <c r="AC8" s="191">
        <f t="shared" ref="AC8:AC9" si="6">ROUND(V8-AB8,0)</f>
        <v>87000</v>
      </c>
      <c r="AD8" s="504" t="str">
        <f>VLOOKUP(B8,'Salary -Dec-2024 (Full)'!$B$6:$AE$383,29,0)</f>
        <v>Bank</v>
      </c>
      <c r="AE8" s="331" t="str">
        <f>VLOOKUP(B8,'Salary -Dec-2024 (Full)'!$B$6:$AE$2853,30,0)</f>
        <v>101.103.0040142</v>
      </c>
      <c r="AH8" s="183"/>
      <c r="AI8" s="320"/>
    </row>
    <row r="9" spans="1:41" s="61" customFormat="1" ht="20.25" customHeight="1">
      <c r="A9" s="62">
        <v>2</v>
      </c>
      <c r="B9" s="63" t="s">
        <v>627</v>
      </c>
      <c r="C9" s="64" t="str">
        <f>VLOOKUP(B9,'Salary -Dec-2024 (Full)'!$B$8:$AE$331,2,0)</f>
        <v>Md. Yeasin Hossain Khan</v>
      </c>
      <c r="D9" s="115" t="str">
        <f>VLOOKUP(B9,'Salary -Dec-2024 (Full)'!$B$8:$AE$331,3,0)</f>
        <v>Accounts Officer (S&amp;P)</v>
      </c>
      <c r="E9" s="65" t="str">
        <f>VLOOKUP(B9,'Salary -Dec-2024 (Full)'!$B$8:$AE$331,4,0)</f>
        <v>A&amp;F</v>
      </c>
      <c r="F9" s="265">
        <f>VLOOKUP(B9,'Salary -Dec-2024 (Full)'!$B$8:$AE$331,5,0)</f>
        <v>45061</v>
      </c>
      <c r="G9" s="66">
        <f>VLOOKUP(B9,'Salary -Dec-2024 (Full)'!$B$8:$AE$331,6,0)</f>
        <v>31</v>
      </c>
      <c r="H9" s="67">
        <f>VLOOKUP(B$7:B$37,Attendance!$B$6:$L$385,11,0)</f>
        <v>0</v>
      </c>
      <c r="I9" s="66">
        <f t="shared" si="0"/>
        <v>31</v>
      </c>
      <c r="J9" s="67">
        <f t="shared" si="1"/>
        <v>967.74193548387098</v>
      </c>
      <c r="K9" s="192">
        <f>VLOOKUP(B9,'Salary -Dec-2024 (Full)'!$B$6:$AE$383,10,0)</f>
        <v>30000</v>
      </c>
      <c r="L9" s="68">
        <f t="shared" si="2"/>
        <v>18000</v>
      </c>
      <c r="M9" s="68">
        <f t="shared" si="3"/>
        <v>9000</v>
      </c>
      <c r="N9" s="68">
        <f t="shared" si="4"/>
        <v>1800</v>
      </c>
      <c r="O9" s="68">
        <f t="shared" si="5"/>
        <v>1200</v>
      </c>
      <c r="P9" s="69"/>
      <c r="Q9" s="70">
        <f t="shared" ref="Q9" si="7">SUM(L9:P9)</f>
        <v>30000</v>
      </c>
      <c r="R9" s="70">
        <f>VLOOKUP(B9,'Salary -Dec-2024 (Full)'!$B$6:$AE$383,17,0)</f>
        <v>30000</v>
      </c>
      <c r="S9" s="192">
        <f>VLOOKUP(B9,'Salary -Dec-2024 (Full)'!$B$6:$AE$383,18,0)</f>
        <v>0</v>
      </c>
      <c r="T9" s="192">
        <f>VLOOKUP(B9,'Salary -Dec-2024 (Full)'!$B$6:$AE$383,19,0)</f>
        <v>0</v>
      </c>
      <c r="U9" s="337">
        <f>VLOOKUP(B9,'Salary -Dec-2024 (Full)'!$B$6:$AE$383,20,0)</f>
        <v>0</v>
      </c>
      <c r="V9" s="71">
        <f t="shared" ref="V9" si="8">SUM(R9:U9)</f>
        <v>30000</v>
      </c>
      <c r="W9" s="192">
        <f>VLOOKUP(B9,'Salary -Dec-2024 (Full)'!$B$6:$AE$383,22,0)</f>
        <v>0</v>
      </c>
      <c r="X9" s="192">
        <f>VLOOKUP(B9,'Salary -Dec-2024 (Full)'!$B$6:$AE$383,23,0)</f>
        <v>0</v>
      </c>
      <c r="Y9" s="337">
        <f>VLOOKUP(B9,'Salary -Dec-2024 (Full)'!$B$6:$AE$383,24,0)</f>
        <v>900</v>
      </c>
      <c r="Z9" s="192">
        <f>VLOOKUP(B9,'Salary -Dec-2024 (Full)'!$B$6:$AE$383,25,0)</f>
        <v>0</v>
      </c>
      <c r="AA9" s="192">
        <f>VLOOKUP(B9,'Salary -Dec-2024 (Full)'!$B$6:$AE$383,26,0)</f>
        <v>0</v>
      </c>
      <c r="AB9" s="377">
        <f>SUM(W9:AA9)</f>
        <v>900</v>
      </c>
      <c r="AC9" s="71">
        <f t="shared" si="6"/>
        <v>29100</v>
      </c>
      <c r="AD9" s="346" t="str">
        <f>VLOOKUP(B9,'Salary -Dec-2024 (Full)'!$B$6:$AE$383,29,0)</f>
        <v>Bank</v>
      </c>
      <c r="AE9" s="343" t="str">
        <f>VLOOKUP(B9,'Salary -Dec-2024 (Full)'!$B$6:$AE$2853,30,0)</f>
        <v>103.103.1353468</v>
      </c>
      <c r="AH9" s="183"/>
      <c r="AI9" s="320"/>
    </row>
    <row r="10" spans="1:41" s="30" customFormat="1" ht="20.25" customHeight="1">
      <c r="A10" s="1031"/>
      <c r="B10" s="1032"/>
      <c r="C10" s="1033"/>
      <c r="D10" s="1034"/>
      <c r="E10" s="1040"/>
      <c r="F10" s="1036"/>
      <c r="G10" s="1036"/>
      <c r="H10" s="1036"/>
      <c r="I10" s="1036"/>
      <c r="J10" s="1036"/>
      <c r="K10" s="1037">
        <f>SUM(K8:K9)</f>
        <v>130000</v>
      </c>
      <c r="L10" s="1037">
        <f t="shared" ref="L10:AC10" si="9">SUM(L8:L9)</f>
        <v>78000</v>
      </c>
      <c r="M10" s="1037">
        <f t="shared" si="9"/>
        <v>39000</v>
      </c>
      <c r="N10" s="1037">
        <f t="shared" si="9"/>
        <v>7800</v>
      </c>
      <c r="O10" s="1037">
        <f t="shared" si="9"/>
        <v>5200</v>
      </c>
      <c r="P10" s="1037">
        <f t="shared" si="9"/>
        <v>0</v>
      </c>
      <c r="Q10" s="1037">
        <f t="shared" si="9"/>
        <v>130000</v>
      </c>
      <c r="R10" s="1037">
        <f t="shared" si="9"/>
        <v>130000</v>
      </c>
      <c r="S10" s="1037">
        <f t="shared" si="9"/>
        <v>0</v>
      </c>
      <c r="T10" s="1037">
        <f t="shared" si="9"/>
        <v>0</v>
      </c>
      <c r="U10" s="1037">
        <f t="shared" si="9"/>
        <v>0</v>
      </c>
      <c r="V10" s="1037">
        <f t="shared" si="9"/>
        <v>130000</v>
      </c>
      <c r="W10" s="1037">
        <f t="shared" si="9"/>
        <v>10000</v>
      </c>
      <c r="X10" s="1037">
        <f t="shared" si="9"/>
        <v>0</v>
      </c>
      <c r="Y10" s="1037">
        <f t="shared" si="9"/>
        <v>3900</v>
      </c>
      <c r="Z10" s="1037">
        <f t="shared" si="9"/>
        <v>0</v>
      </c>
      <c r="AA10" s="1037">
        <f t="shared" si="9"/>
        <v>0</v>
      </c>
      <c r="AB10" s="1037">
        <f t="shared" si="9"/>
        <v>13900</v>
      </c>
      <c r="AC10" s="1037">
        <f t="shared" si="9"/>
        <v>116100</v>
      </c>
      <c r="AD10" s="1038"/>
      <c r="AE10" s="1039"/>
      <c r="AG10" s="61"/>
      <c r="AH10" s="198"/>
      <c r="AI10" s="320"/>
    </row>
    <row r="11" spans="1:41" s="47" customFormat="1" ht="20.25" customHeight="1">
      <c r="A11" s="89" t="s">
        <v>319</v>
      </c>
      <c r="B11" s="90"/>
      <c r="C11" s="90"/>
      <c r="D11" s="281"/>
      <c r="E11" s="90"/>
      <c r="F11" s="90"/>
      <c r="G11" s="90"/>
      <c r="H11" s="284"/>
      <c r="I11" s="90"/>
      <c r="J11" s="90"/>
      <c r="K11" s="119"/>
      <c r="L11" s="119"/>
      <c r="M11" s="119"/>
      <c r="N11" s="119"/>
      <c r="O11" s="119"/>
      <c r="P11" s="119"/>
      <c r="Q11" s="119"/>
      <c r="R11" s="268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268"/>
      <c r="AD11" s="119"/>
      <c r="AE11" s="120"/>
      <c r="AG11" s="61"/>
      <c r="AH11" s="198"/>
      <c r="AI11" s="320"/>
    </row>
    <row r="12" spans="1:41" s="61" customFormat="1" ht="23.25" customHeight="1">
      <c r="A12" s="48">
        <v>1</v>
      </c>
      <c r="B12" s="49" t="s">
        <v>1078</v>
      </c>
      <c r="C12" s="50" t="str">
        <f>VLOOKUP(B12,'Salary -Dec-2024 (Full)'!$B$8:$AE$331,2,0)</f>
        <v>Md Radoan Ahamed</v>
      </c>
      <c r="D12" s="279" t="str">
        <f>VLOOKUP(B12,'Salary -Dec-2024 (Full)'!$B$8:$AE$331,3,0)</f>
        <v>Deputy Manager</v>
      </c>
      <c r="E12" s="51" t="str">
        <f>VLOOKUP(B12,'Salary -Dec-2024 (Full)'!$B$8:$AE$331,4,0)</f>
        <v>Spare &amp; Parts</v>
      </c>
      <c r="F12" s="288">
        <f>VLOOKUP(B12,'Salary -Dec-2024 (Full)'!$B$8:$AE$331,5,0)</f>
        <v>45241</v>
      </c>
      <c r="G12" s="52">
        <f>VLOOKUP(B12,'Salary -Dec-2024 (Full)'!$B$8:$AE$331,6,0)</f>
        <v>31</v>
      </c>
      <c r="H12" s="53">
        <f>VLOOKUP(B$7:B$37,Attendance!$B$6:$L$385,11,0)</f>
        <v>0</v>
      </c>
      <c r="I12" s="52">
        <f>G12-H12</f>
        <v>31</v>
      </c>
      <c r="J12" s="53">
        <f>Q12/G12</f>
        <v>2096.7741935483873</v>
      </c>
      <c r="K12" s="58">
        <f>VLOOKUP(B12,'Salary -Dec-2024 (Full)'!$B$6:$AE$383,10,0)</f>
        <v>65000</v>
      </c>
      <c r="L12" s="54">
        <f>K12*60%</f>
        <v>39000</v>
      </c>
      <c r="M12" s="54">
        <f>K12*30%</f>
        <v>19500</v>
      </c>
      <c r="N12" s="54">
        <f>K12*6%</f>
        <v>3900</v>
      </c>
      <c r="O12" s="54">
        <f>K12*4%</f>
        <v>2600</v>
      </c>
      <c r="P12" s="55">
        <v>0</v>
      </c>
      <c r="Q12" s="56">
        <f>SUM(L12:P12)</f>
        <v>65000</v>
      </c>
      <c r="R12" s="188">
        <f>VLOOKUP(B12,'Salary -Dec-2024 (Full)'!$B$6:$AE$383,17,0)</f>
        <v>65000</v>
      </c>
      <c r="S12" s="58">
        <f>VLOOKUP(B12,'Salary -Dec-2024 (Full)'!$B$6:$AE$383,18,0)</f>
        <v>0</v>
      </c>
      <c r="T12" s="58">
        <f>VLOOKUP(B12,'Salary -Dec-2024 (Full)'!$B$6:$AE$383,19,0)</f>
        <v>0</v>
      </c>
      <c r="U12" s="393">
        <f>VLOOKUP(B12,'Salary -Dec-2024 (Full)'!$B$6:$AE$383,20,0)</f>
        <v>0</v>
      </c>
      <c r="V12" s="57">
        <f>SUM(R12:U12)</f>
        <v>65000</v>
      </c>
      <c r="W12" s="58">
        <f>VLOOKUP(B12,'Salary -Dec-2024 (Full)'!$B$6:$AE$383,22,0)</f>
        <v>417</v>
      </c>
      <c r="X12" s="58">
        <f>VLOOKUP(B12,'Salary -Dec-2024 (Full)'!$B$6:$AE$383,23,0)</f>
        <v>0</v>
      </c>
      <c r="Y12" s="393">
        <f>VLOOKUP(B12,'Salary -Dec-2024 (Full)'!$B$6:$AE$383,24,0)</f>
        <v>1950</v>
      </c>
      <c r="Z12" s="58">
        <f>VLOOKUP(B12,'Salary -Dec-2024 (Full)'!$B$6:$AE$383,25,0)</f>
        <v>0</v>
      </c>
      <c r="AA12" s="58">
        <f>VLOOKUP(B12,'Salary -Dec-2024 (Full)'!$B$6:$AE$383,26,0)</f>
        <v>0</v>
      </c>
      <c r="AB12" s="588">
        <f>SUM(W12:AA12)</f>
        <v>2367</v>
      </c>
      <c r="AC12" s="191">
        <f t="shared" ref="AC12:AC13" si="10">ROUND(V12-AB12,0)</f>
        <v>62633</v>
      </c>
      <c r="AD12" s="504" t="str">
        <f>VLOOKUP(B12,'Salary -Dec-2024 (Full)'!$B$6:$AE$383,29,0)</f>
        <v>Bank</v>
      </c>
      <c r="AE12" s="331" t="str">
        <f>VLOOKUP(B12,'Salary -Dec-2024 (Full)'!$B$6:$AE$2853,30,0)</f>
        <v>103.103.1380275</v>
      </c>
      <c r="AH12" s="183"/>
      <c r="AI12" s="320"/>
    </row>
    <row r="13" spans="1:41" s="61" customFormat="1" ht="23.25" customHeight="1">
      <c r="A13" s="62">
        <v>2</v>
      </c>
      <c r="B13" s="63" t="s">
        <v>338</v>
      </c>
      <c r="C13" s="64" t="str">
        <f>VLOOKUP(B13,'Salary -Dec-2024 (Full)'!$B$8:$AE$331,2,0)</f>
        <v>Mohammed Shariful Alam</v>
      </c>
      <c r="D13" s="115" t="str">
        <f>VLOOKUP(B13,'Salary -Dec-2024 (Full)'!$B$8:$AE$331,3,0)</f>
        <v>Manager</v>
      </c>
      <c r="E13" s="65" t="str">
        <f>VLOOKUP(B13,'Salary -Dec-2024 (Full)'!$B$8:$AE$331,4,0)</f>
        <v>Store &amp; Logistics</v>
      </c>
      <c r="F13" s="265">
        <f>VLOOKUP(B13,'Salary -Dec-2024 (Full)'!$B$8:$AE$331,5,0)</f>
        <v>44332</v>
      </c>
      <c r="G13" s="66">
        <f>VLOOKUP(B13,'Salary -Dec-2024 (Full)'!$B$8:$AE$331,6,0)</f>
        <v>31</v>
      </c>
      <c r="H13" s="67">
        <f>VLOOKUP(B$7:B$37,Attendance!$B$6:$L$385,11,0)</f>
        <v>0</v>
      </c>
      <c r="I13" s="66">
        <f t="shared" ref="I13:I14" si="11">G13-H13</f>
        <v>31</v>
      </c>
      <c r="J13" s="67">
        <f t="shared" ref="J13:J14" si="12">Q13/G13</f>
        <v>1774.1935483870968</v>
      </c>
      <c r="K13" s="192">
        <f>VLOOKUP(B13,'Salary -Dec-2024 (Full)'!$B$6:$AE$383,10,0)</f>
        <v>55000</v>
      </c>
      <c r="L13" s="68">
        <f t="shared" ref="L13:L14" si="13">K13*60%</f>
        <v>33000</v>
      </c>
      <c r="M13" s="68">
        <f t="shared" ref="M13:M14" si="14">K13*30%</f>
        <v>16500</v>
      </c>
      <c r="N13" s="68">
        <f t="shared" ref="N13:N14" si="15">K13*6%</f>
        <v>3300</v>
      </c>
      <c r="O13" s="68">
        <f t="shared" ref="O13:O14" si="16">K13*4%</f>
        <v>2200</v>
      </c>
      <c r="P13" s="69"/>
      <c r="Q13" s="70">
        <f t="shared" ref="Q13:Q14" si="17">SUM(L13:P13)</f>
        <v>55000</v>
      </c>
      <c r="R13" s="70">
        <f>VLOOKUP(B13,'Salary -Dec-2024 (Full)'!$B$6:$AE$383,17,0)</f>
        <v>55000</v>
      </c>
      <c r="S13" s="192">
        <f>VLOOKUP(B13,'Salary -Dec-2024 (Full)'!$B$6:$AE$383,18,0)</f>
        <v>0</v>
      </c>
      <c r="T13" s="192">
        <f>VLOOKUP(B13,'Salary -Dec-2024 (Full)'!$B$6:$AE$383,19,0)</f>
        <v>0</v>
      </c>
      <c r="U13" s="337">
        <f>VLOOKUP(B13,'Salary -Dec-2024 (Full)'!$B$6:$AE$383,20,0)</f>
        <v>0</v>
      </c>
      <c r="V13" s="71">
        <f t="shared" ref="V13:V14" si="18">SUM(R13:U13)</f>
        <v>55000</v>
      </c>
      <c r="W13" s="192">
        <f>VLOOKUP(B13,'Salary -Dec-2024 (Full)'!$B$6:$AE$383,22,0)</f>
        <v>417</v>
      </c>
      <c r="X13" s="192">
        <f>VLOOKUP(B13,'Salary -Dec-2024 (Full)'!$B$6:$AE$383,23,0)</f>
        <v>1050</v>
      </c>
      <c r="Y13" s="337">
        <f>VLOOKUP(B13,'Salary -Dec-2024 (Full)'!$B$6:$AE$383,24,0)</f>
        <v>1650</v>
      </c>
      <c r="Z13" s="192">
        <f>VLOOKUP(B13,'Salary -Dec-2024 (Full)'!$B$6:$AE$383,25,0)</f>
        <v>0</v>
      </c>
      <c r="AA13" s="192">
        <f>VLOOKUP(B13,'Salary -Dec-2024 (Full)'!$B$6:$AE$383,26,0)</f>
        <v>0</v>
      </c>
      <c r="AB13" s="377">
        <f>SUM(W13:AA13)</f>
        <v>3117</v>
      </c>
      <c r="AC13" s="71">
        <f t="shared" si="10"/>
        <v>51883</v>
      </c>
      <c r="AD13" s="346" t="str">
        <f>VLOOKUP(B13,'Salary -Dec-2024 (Full)'!$B$6:$AE$383,29,0)</f>
        <v>Bank</v>
      </c>
      <c r="AE13" s="343" t="str">
        <f>VLOOKUP(B13,'Salary -Dec-2024 (Full)'!$B$6:$AE$2853,30,0)</f>
        <v>103.103.1252528</v>
      </c>
      <c r="AH13" s="183"/>
      <c r="AI13" s="320"/>
    </row>
    <row r="14" spans="1:41" s="61" customFormat="1" ht="23.25" customHeight="1">
      <c r="A14" s="75">
        <v>3</v>
      </c>
      <c r="B14" s="76" t="s">
        <v>343</v>
      </c>
      <c r="C14" s="77" t="str">
        <f>VLOOKUP(B14,'Salary -Dec-2024 (Full)'!$B$8:$AE$331,2,0)</f>
        <v>Samiul Hassan</v>
      </c>
      <c r="D14" s="280" t="str">
        <f>VLOOKUP(B14,'Salary -Dec-2024 (Full)'!$B$8:$AE$331,3,0)</f>
        <v>Asst. Manager</v>
      </c>
      <c r="E14" s="78" t="str">
        <f>VLOOKUP(B14,'Salary -Dec-2024 (Full)'!$B$8:$AE$331,4,0)</f>
        <v>Store &amp; Logistics</v>
      </c>
      <c r="F14" s="488">
        <f>VLOOKUP(B14,'Salary -Dec-2024 (Full)'!$B$8:$AE$331,5,0)</f>
        <v>44714</v>
      </c>
      <c r="G14" s="79">
        <f>VLOOKUP(B14,'Salary -Dec-2024 (Full)'!$B$8:$AE$331,6,0)</f>
        <v>31</v>
      </c>
      <c r="H14" s="80">
        <f>VLOOKUP(B$7:B$37,Attendance!$B$6:$L$385,11,0)</f>
        <v>0</v>
      </c>
      <c r="I14" s="79">
        <f t="shared" si="11"/>
        <v>31</v>
      </c>
      <c r="J14" s="80">
        <f t="shared" si="12"/>
        <v>1129.0322580645161</v>
      </c>
      <c r="K14" s="395">
        <f>VLOOKUP(B14,'Salary -Dec-2024 (Full)'!$B$6:$AE$383,10,0)</f>
        <v>35000</v>
      </c>
      <c r="L14" s="81">
        <f t="shared" si="13"/>
        <v>21000</v>
      </c>
      <c r="M14" s="81">
        <f t="shared" si="14"/>
        <v>10500</v>
      </c>
      <c r="N14" s="81">
        <f t="shared" si="15"/>
        <v>2100</v>
      </c>
      <c r="O14" s="81">
        <f t="shared" si="16"/>
        <v>1400</v>
      </c>
      <c r="P14" s="82"/>
      <c r="Q14" s="83">
        <f t="shared" si="17"/>
        <v>35000</v>
      </c>
      <c r="R14" s="70">
        <f>VLOOKUP(B14,'Salary -Dec-2024 (Full)'!$B$6:$AE$383,17,0)</f>
        <v>35000</v>
      </c>
      <c r="S14" s="395">
        <f>VLOOKUP(B14,'Salary -Dec-2024 (Full)'!$B$6:$AE$383,18,0)</f>
        <v>0</v>
      </c>
      <c r="T14" s="395">
        <f>VLOOKUP(B14,'Salary -Dec-2024 (Full)'!$B$6:$AE$383,19,0)</f>
        <v>0</v>
      </c>
      <c r="U14" s="396">
        <f>VLOOKUP(B14,'Salary -Dec-2024 (Full)'!$B$6:$AE$383,20,0)</f>
        <v>0</v>
      </c>
      <c r="V14" s="84">
        <f t="shared" si="18"/>
        <v>35000</v>
      </c>
      <c r="W14" s="395">
        <f>VLOOKUP(B14,'Salary -Dec-2024 (Full)'!$B$6:$AE$383,22,0)</f>
        <v>0</v>
      </c>
      <c r="X14" s="395">
        <f>VLOOKUP(B14,'Salary -Dec-2024 (Full)'!$B$6:$AE$383,23,0)</f>
        <v>1350</v>
      </c>
      <c r="Y14" s="396">
        <f>VLOOKUP(B14,'Salary -Dec-2024 (Full)'!$B$6:$AE$383,24,0)</f>
        <v>1050</v>
      </c>
      <c r="Z14" s="395">
        <f>VLOOKUP(B14,'Salary -Dec-2024 (Full)'!$B$6:$AE$383,25,0)</f>
        <v>0</v>
      </c>
      <c r="AA14" s="192">
        <f>VLOOKUP(B14,'Salary -Dec-2024 (Full)'!$B$6:$AE$383,26,0)</f>
        <v>0</v>
      </c>
      <c r="AB14" s="377">
        <f>SUM(W14:AA14)</f>
        <v>2400</v>
      </c>
      <c r="AC14" s="71">
        <f t="shared" ref="AC14" si="19">ROUND(V14-AB14,0)</f>
        <v>32600</v>
      </c>
      <c r="AD14" s="346" t="str">
        <f>VLOOKUP(B14,'Salary -Dec-2024 (Full)'!$B$6:$AE$383,29,0)</f>
        <v>Bank</v>
      </c>
      <c r="AE14" s="343" t="str">
        <f>VLOOKUP(B14,'Salary -Dec-2024 (Full)'!$B$6:$AE$2853,30,0)</f>
        <v>156.105.0160835</v>
      </c>
      <c r="AH14" s="183"/>
      <c r="AI14" s="320"/>
    </row>
    <row r="15" spans="1:41" s="30" customFormat="1" ht="18.75" customHeight="1">
      <c r="A15" s="1031"/>
      <c r="B15" s="1032"/>
      <c r="C15" s="1033"/>
      <c r="D15" s="1034"/>
      <c r="E15" s="1040"/>
      <c r="F15" s="1036"/>
      <c r="G15" s="1036"/>
      <c r="H15" s="1036"/>
      <c r="I15" s="1036"/>
      <c r="J15" s="1036"/>
      <c r="K15" s="1037">
        <f>SUM(K12:K14)</f>
        <v>155000</v>
      </c>
      <c r="L15" s="1037">
        <f t="shared" ref="L15:AC15" si="20">SUM(L12:L14)</f>
        <v>93000</v>
      </c>
      <c r="M15" s="1037">
        <f t="shared" si="20"/>
        <v>46500</v>
      </c>
      <c r="N15" s="1037">
        <f t="shared" si="20"/>
        <v>9300</v>
      </c>
      <c r="O15" s="1037">
        <f t="shared" si="20"/>
        <v>6200</v>
      </c>
      <c r="P15" s="1037">
        <f t="shared" si="20"/>
        <v>0</v>
      </c>
      <c r="Q15" s="1037">
        <f t="shared" si="20"/>
        <v>155000</v>
      </c>
      <c r="R15" s="1037">
        <f t="shared" si="20"/>
        <v>155000</v>
      </c>
      <c r="S15" s="1037">
        <f t="shared" si="20"/>
        <v>0</v>
      </c>
      <c r="T15" s="1037">
        <f t="shared" si="20"/>
        <v>0</v>
      </c>
      <c r="U15" s="1037">
        <f t="shared" si="20"/>
        <v>0</v>
      </c>
      <c r="V15" s="1037">
        <f t="shared" si="20"/>
        <v>155000</v>
      </c>
      <c r="W15" s="1037">
        <f t="shared" si="20"/>
        <v>834</v>
      </c>
      <c r="X15" s="1037">
        <f t="shared" si="20"/>
        <v>2400</v>
      </c>
      <c r="Y15" s="1037">
        <f t="shared" si="20"/>
        <v>4650</v>
      </c>
      <c r="Z15" s="1037">
        <f t="shared" si="20"/>
        <v>0</v>
      </c>
      <c r="AA15" s="1037">
        <f t="shared" si="20"/>
        <v>0</v>
      </c>
      <c r="AB15" s="1037">
        <f t="shared" si="20"/>
        <v>7884</v>
      </c>
      <c r="AC15" s="1037">
        <f t="shared" si="20"/>
        <v>147116</v>
      </c>
      <c r="AD15" s="1038"/>
      <c r="AE15" s="1039"/>
      <c r="AG15" s="61"/>
      <c r="AH15" s="198"/>
      <c r="AI15" s="320"/>
    </row>
    <row r="16" spans="1:41" s="47" customFormat="1" ht="19.5" customHeight="1">
      <c r="A16" s="89" t="s">
        <v>94</v>
      </c>
      <c r="B16" s="90"/>
      <c r="C16" s="119"/>
      <c r="D16" s="281"/>
      <c r="E16" s="497"/>
      <c r="F16" s="794"/>
      <c r="G16" s="90"/>
      <c r="H16" s="284"/>
      <c r="I16" s="90"/>
      <c r="J16" s="90"/>
      <c r="K16" s="90"/>
      <c r="L16" s="90"/>
      <c r="M16" s="90"/>
      <c r="N16" s="90"/>
      <c r="O16" s="90"/>
      <c r="P16" s="90"/>
      <c r="Q16" s="90"/>
      <c r="R16" s="119"/>
      <c r="S16" s="90"/>
      <c r="T16" s="90"/>
      <c r="U16" s="119"/>
      <c r="V16" s="90"/>
      <c r="W16" s="90"/>
      <c r="X16" s="119"/>
      <c r="Y16" s="284"/>
      <c r="Z16" s="119"/>
      <c r="AA16" s="119"/>
      <c r="AB16" s="90"/>
      <c r="AC16" s="90"/>
      <c r="AD16" s="90"/>
      <c r="AE16" s="91"/>
      <c r="AF16" s="383"/>
      <c r="AG16" s="543"/>
      <c r="AH16" s="548"/>
      <c r="AI16" s="549"/>
      <c r="AJ16" s="198"/>
      <c r="AK16" s="320"/>
      <c r="AL16" s="61"/>
      <c r="AM16" s="61"/>
      <c r="AN16" s="198"/>
      <c r="AO16" s="61"/>
    </row>
    <row r="17" spans="1:41" s="47" customFormat="1" ht="24.95" customHeight="1">
      <c r="A17" s="501">
        <v>1</v>
      </c>
      <c r="B17" s="502" t="s">
        <v>113</v>
      </c>
      <c r="C17" s="50" t="str">
        <f>VLOOKUP(B17,'Salary -Dec-2024 (Full)'!$B$8:$AE$331,2,0)</f>
        <v>Md. Kaiser Ferdous</v>
      </c>
      <c r="D17" s="279" t="str">
        <f>VLOOKUP(B17,'Salary -Dec-2024 (Full)'!$B$8:$AE$331,3,0)</f>
        <v>Sr. Service Coordinator</v>
      </c>
      <c r="E17" s="51" t="str">
        <f>VLOOKUP(B17,'Salary -Dec-2024 (Full)'!$B$8:$AE$331,4,0)</f>
        <v>Technical</v>
      </c>
      <c r="F17" s="288">
        <f>VLOOKUP(B17,'Salary -Dec-2024 (Full)'!$B$8:$AE$331,5,0)</f>
        <v>44643</v>
      </c>
      <c r="G17" s="52">
        <f>VLOOKUP(B17,'Salary -Dec-2024 (Full)'!$B$8:$AE$331,6,0)</f>
        <v>31</v>
      </c>
      <c r="H17" s="53">
        <f>VLOOKUP(B$7:B$37,Attendance!$B$6:$L$385,11,0)</f>
        <v>0</v>
      </c>
      <c r="I17" s="52">
        <f t="shared" ref="I17" si="21">G17-H17</f>
        <v>31</v>
      </c>
      <c r="J17" s="53">
        <f t="shared" ref="J17" si="22">Q17/G17</f>
        <v>1161.2903225806451</v>
      </c>
      <c r="K17" s="58">
        <f>VLOOKUP(B17,'Salary -Dec-2024 (Full)'!$B$6:$AE$383,10,0)</f>
        <v>36000</v>
      </c>
      <c r="L17" s="54">
        <f t="shared" ref="L17" si="23">K17*60%</f>
        <v>21600</v>
      </c>
      <c r="M17" s="54">
        <f t="shared" ref="M17" si="24">K17*30%</f>
        <v>10800</v>
      </c>
      <c r="N17" s="54">
        <f t="shared" ref="N17" si="25">K17*6%</f>
        <v>2160</v>
      </c>
      <c r="O17" s="54">
        <f t="shared" ref="O17" si="26">K17*4%</f>
        <v>1440</v>
      </c>
      <c r="P17" s="55"/>
      <c r="Q17" s="56">
        <f t="shared" ref="Q17" si="27">SUM(L17:P17)</f>
        <v>36000</v>
      </c>
      <c r="R17" s="56">
        <f>VLOOKUP(B17,'Salary -Dec-2024 (Full)'!$B$6:$AE$383,17,0)</f>
        <v>36000</v>
      </c>
      <c r="S17" s="58">
        <f>VLOOKUP(B17,'Salary -Dec-2024 (Full)'!$B$6:$AE$383,18,0)</f>
        <v>0</v>
      </c>
      <c r="T17" s="58">
        <f>VLOOKUP(B17,'Salary -Dec-2024 (Full)'!$B$6:$AE$383,19,0)</f>
        <v>0</v>
      </c>
      <c r="U17" s="393">
        <f>VLOOKUP(B17,'Salary -Dec-2024 (Full)'!$B$6:$AE$383,20,0)</f>
        <v>0</v>
      </c>
      <c r="V17" s="57">
        <f t="shared" ref="V17" si="28">SUM(R17:U17)</f>
        <v>36000</v>
      </c>
      <c r="W17" s="58">
        <f>VLOOKUP(B17,'Salary -Dec-2024 (Full)'!$B$6:$AE$383,22,0)</f>
        <v>0</v>
      </c>
      <c r="X17" s="58">
        <f>VLOOKUP(B17,'Salary -Dec-2024 (Full)'!$B$6:$AE$383,23,0)</f>
        <v>1800</v>
      </c>
      <c r="Y17" s="393">
        <f>VLOOKUP(B17,'Salary -Dec-2024 (Full)'!$B$6:$AE$383,24,0)</f>
        <v>1080</v>
      </c>
      <c r="Z17" s="58">
        <f>VLOOKUP(B17,'Salary -Dec-2024 (Full)'!$B$6:$AE$383,25,0)</f>
        <v>0</v>
      </c>
      <c r="AA17" s="58">
        <f>VLOOKUP(B17,'Salary -Dec-2024 (Full)'!$B$6:$AE$383,26,0)</f>
        <v>0</v>
      </c>
      <c r="AB17" s="588">
        <f>SUM(W17:AA17)</f>
        <v>2880</v>
      </c>
      <c r="AC17" s="57">
        <f t="shared" ref="AC17" si="29">ROUND(V17-AB17,0)</f>
        <v>33120</v>
      </c>
      <c r="AD17" s="504" t="str">
        <f>VLOOKUP(B17,'Salary -Dec-2024 (Full)'!$B$6:$AE$383,29,0)</f>
        <v>Bank</v>
      </c>
      <c r="AE17" s="331" t="str">
        <f>VLOOKUP(B17,'Salary -Dec-2024 (Full)'!$B$6:$AE$2853,30,0)</f>
        <v>268.151.0036556</v>
      </c>
      <c r="AF17" s="383"/>
      <c r="AG17" s="543"/>
      <c r="AH17" s="548"/>
      <c r="AI17" s="548"/>
      <c r="AJ17" s="198"/>
      <c r="AK17" s="320"/>
      <c r="AL17" s="61"/>
      <c r="AM17" s="61"/>
      <c r="AN17" s="198"/>
      <c r="AO17" s="61"/>
    </row>
    <row r="18" spans="1:41" s="47" customFormat="1" ht="24.95" customHeight="1">
      <c r="A18" s="339">
        <v>2</v>
      </c>
      <c r="B18" s="254" t="s">
        <v>118</v>
      </c>
      <c r="C18" s="64" t="str">
        <f>VLOOKUP(B18,'Salary -Dec-2024 (Full)'!$B$8:$AE$331,2,0)</f>
        <v>Sohidullah</v>
      </c>
      <c r="D18" s="115" t="str">
        <f>VLOOKUP(B18,'Salary -Dec-2024 (Full)'!$B$8:$AE$331,3,0)</f>
        <v>Sr. Manager</v>
      </c>
      <c r="E18" s="65" t="str">
        <f>VLOOKUP(B18,'Salary -Dec-2024 (Full)'!$B$8:$AE$331,4,0)</f>
        <v>Technical</v>
      </c>
      <c r="F18" s="265">
        <f>VLOOKUP(B18,'Salary -Dec-2024 (Full)'!$B$8:$AE$331,5,0)</f>
        <v>44665</v>
      </c>
      <c r="G18" s="66">
        <f>VLOOKUP(B18,'Salary -Dec-2024 (Full)'!$B$8:$AE$331,6,0)</f>
        <v>31</v>
      </c>
      <c r="H18" s="67">
        <f>VLOOKUP(B$7:B$37,Attendance!$B$6:$L$385,11,0)</f>
        <v>0</v>
      </c>
      <c r="I18" s="66">
        <f t="shared" ref="I18" si="30">G18-H18</f>
        <v>31</v>
      </c>
      <c r="J18" s="67">
        <f t="shared" ref="J18" si="31">Q18/G18</f>
        <v>3372.5806451612902</v>
      </c>
      <c r="K18" s="192">
        <f>VLOOKUP(B18,'Salary -Dec-2024 (Full)'!$B$6:$AE$383,10,0)</f>
        <v>104550</v>
      </c>
      <c r="L18" s="68">
        <f t="shared" ref="L18" si="32">K18*60%</f>
        <v>62730</v>
      </c>
      <c r="M18" s="68">
        <f t="shared" ref="M18" si="33">K18*30%</f>
        <v>31365</v>
      </c>
      <c r="N18" s="68">
        <f t="shared" ref="N18" si="34">K18*6%</f>
        <v>6273</v>
      </c>
      <c r="O18" s="68">
        <f t="shared" ref="O18" si="35">K18*4%</f>
        <v>4182</v>
      </c>
      <c r="P18" s="69"/>
      <c r="Q18" s="70">
        <f t="shared" ref="Q18" si="36">SUM(L18:P18)</f>
        <v>104550</v>
      </c>
      <c r="R18" s="70">
        <f>VLOOKUP(B18,'Salary -Dec-2024 (Full)'!$B$6:$AE$383,17,0)</f>
        <v>104550</v>
      </c>
      <c r="S18" s="192">
        <f>VLOOKUP(B18,'Salary -Dec-2024 (Full)'!$B$6:$AE$383,18,0)</f>
        <v>0</v>
      </c>
      <c r="T18" s="192">
        <f>VLOOKUP(B18,'Salary -Dec-2024 (Full)'!$B$6:$AE$383,19,0)</f>
        <v>0</v>
      </c>
      <c r="U18" s="337">
        <f>VLOOKUP(B18,'Salary -Dec-2024 (Full)'!$B$6:$AE$383,20,0)</f>
        <v>0</v>
      </c>
      <c r="V18" s="71">
        <f t="shared" ref="V18" si="37">SUM(R18:U18)</f>
        <v>104550</v>
      </c>
      <c r="W18" s="192">
        <f>VLOOKUP(B18,'Salary -Dec-2024 (Full)'!$B$6:$AE$383,22,0)</f>
        <v>3205.2857142857142</v>
      </c>
      <c r="X18" s="192">
        <f>VLOOKUP(B18,'Salary -Dec-2024 (Full)'!$B$6:$AE$383,23,0)</f>
        <v>450</v>
      </c>
      <c r="Y18" s="337">
        <f>VLOOKUP(B18,'Salary -Dec-2024 (Full)'!$B$6:$AE$383,24,0)</f>
        <v>3137</v>
      </c>
      <c r="Z18" s="192">
        <f>VLOOKUP(B18,'Salary -Dec-2024 (Full)'!$B$6:$AE$383,25,0)</f>
        <v>0</v>
      </c>
      <c r="AA18" s="192">
        <f>VLOOKUP(B18,'Salary -Dec-2024 (Full)'!$B$6:$AE$383,26,0)</f>
        <v>0</v>
      </c>
      <c r="AB18" s="377">
        <f>SUM(W18:AA18)</f>
        <v>6792.2857142857138</v>
      </c>
      <c r="AC18" s="71">
        <f t="shared" ref="AC18" si="38">ROUND(V18-AB18,0)</f>
        <v>97758</v>
      </c>
      <c r="AD18" s="346" t="str">
        <f>VLOOKUP(B18,'Salary -Dec-2024 (Full)'!$B$6:$AE$383,29,0)</f>
        <v>Bank</v>
      </c>
      <c r="AE18" s="343" t="str">
        <f>VLOOKUP(B18,'Salary -Dec-2024 (Full)'!$B$6:$AE$2853,30,0)</f>
        <v>141.103.0406713</v>
      </c>
      <c r="AF18" s="383"/>
      <c r="AG18" s="543"/>
      <c r="AH18" s="548"/>
      <c r="AI18" s="548"/>
      <c r="AJ18" s="198"/>
      <c r="AK18" s="320"/>
      <c r="AL18" s="61"/>
      <c r="AM18" s="61"/>
      <c r="AN18" s="198"/>
      <c r="AO18" s="61"/>
    </row>
    <row r="19" spans="1:41" s="61" customFormat="1" ht="24.95" customHeight="1">
      <c r="A19" s="253">
        <v>3</v>
      </c>
      <c r="B19" s="254" t="s">
        <v>148</v>
      </c>
      <c r="C19" s="64" t="str">
        <f>VLOOKUP(B19,'Salary -Dec-2024 (Full)'!$B$8:$AE$331,2,0)</f>
        <v>Mohammad Ali Mollah</v>
      </c>
      <c r="D19" s="115" t="str">
        <f>VLOOKUP(B19,'Salary -Dec-2024 (Full)'!$B$8:$AE$331,3,0)</f>
        <v>Sr. Service Engineer</v>
      </c>
      <c r="E19" s="65" t="str">
        <f>VLOOKUP(B19,'Salary -Dec-2024 (Full)'!$B$8:$AE$331,4,0)</f>
        <v>Technical</v>
      </c>
      <c r="F19" s="265">
        <f>VLOOKUP(B19,'Salary -Dec-2024 (Full)'!$B$8:$AE$331,5,0)</f>
        <v>44726</v>
      </c>
      <c r="G19" s="66">
        <f>VLOOKUP(B19,'Salary -Dec-2024 (Full)'!$B$8:$AE$331,6,0)</f>
        <v>31</v>
      </c>
      <c r="H19" s="67">
        <f>VLOOKUP(B$7:B$37,Attendance!$B$6:$L$385,11,0)</f>
        <v>0</v>
      </c>
      <c r="I19" s="66">
        <f t="shared" ref="I19" si="39">G19-H19</f>
        <v>31</v>
      </c>
      <c r="J19" s="67">
        <f t="shared" ref="J19" si="40">Q19/G19</f>
        <v>1159.6774193548388</v>
      </c>
      <c r="K19" s="192">
        <f>VLOOKUP(B19,'Salary -Dec-2024 (Full)'!$B$6:$AE$383,10,0)</f>
        <v>35950</v>
      </c>
      <c r="L19" s="68">
        <f t="shared" ref="L19" si="41">K19*60%</f>
        <v>21570</v>
      </c>
      <c r="M19" s="68">
        <f t="shared" ref="M19" si="42">K19*30%</f>
        <v>10785</v>
      </c>
      <c r="N19" s="68">
        <f t="shared" ref="N19" si="43">K19*6%</f>
        <v>2157</v>
      </c>
      <c r="O19" s="68">
        <f t="shared" ref="O19" si="44">K19*4%</f>
        <v>1438</v>
      </c>
      <c r="P19" s="69"/>
      <c r="Q19" s="70">
        <f t="shared" ref="Q19" si="45">SUM(L19:P19)</f>
        <v>35950</v>
      </c>
      <c r="R19" s="70">
        <f>VLOOKUP(B19,'Salary -Dec-2024 (Full)'!$B$6:$AE$383,17,0)</f>
        <v>35950</v>
      </c>
      <c r="S19" s="192">
        <f>VLOOKUP(B19,'Salary -Dec-2024 (Full)'!$B$6:$AE$383,18,0)</f>
        <v>0</v>
      </c>
      <c r="T19" s="192">
        <f>VLOOKUP(B19,'Salary -Dec-2024 (Full)'!$B$6:$AE$383,19,0)</f>
        <v>0</v>
      </c>
      <c r="U19" s="337">
        <f>VLOOKUP(B19,'Salary -Dec-2024 (Full)'!$B$6:$AE$383,20,0)</f>
        <v>0</v>
      </c>
      <c r="V19" s="71">
        <f t="shared" ref="V19" si="46">SUM(R19:U19)</f>
        <v>35950</v>
      </c>
      <c r="W19" s="192">
        <f>VLOOKUP(B19,'Salary -Dec-2024 (Full)'!$B$6:$AE$383,22,0)</f>
        <v>0</v>
      </c>
      <c r="X19" s="192">
        <f>VLOOKUP(B19,'Salary -Dec-2024 (Full)'!$B$6:$AE$383,23,0)</f>
        <v>0</v>
      </c>
      <c r="Y19" s="337">
        <f>VLOOKUP(B19,'Salary -Dec-2024 (Full)'!$B$6:$AE$383,24,0)</f>
        <v>1079</v>
      </c>
      <c r="Z19" s="192">
        <f>VLOOKUP(B19,'Salary -Dec-2024 (Full)'!$B$6:$AE$383,25,0)</f>
        <v>2160</v>
      </c>
      <c r="AA19" s="192">
        <f>VLOOKUP(B19,'Salary -Dec-2024 (Full)'!$B$6:$AE$383,26,0)</f>
        <v>0</v>
      </c>
      <c r="AB19" s="377">
        <f t="shared" ref="AB19" si="47">SUM(W19:AA19)</f>
        <v>3239</v>
      </c>
      <c r="AC19" s="71">
        <f t="shared" ref="AC19" si="48">ROUND(V19-AB19,0)</f>
        <v>32711</v>
      </c>
      <c r="AD19" s="346" t="str">
        <f>VLOOKUP(B19,'Salary -Dec-2024 (Full)'!$B$6:$AE$383,29,0)</f>
        <v>Bank</v>
      </c>
      <c r="AE19" s="343" t="str">
        <f>VLOOKUP(B19,'Salary -Dec-2024 (Full)'!$B$6:$AE$2853,30,0)</f>
        <v>188.151.0114541</v>
      </c>
      <c r="AF19" s="383"/>
      <c r="AG19" s="543"/>
      <c r="AH19" s="548"/>
      <c r="AI19" s="548"/>
      <c r="AJ19" s="198"/>
      <c r="AK19" s="320"/>
      <c r="AN19" s="198"/>
    </row>
    <row r="20" spans="1:41" s="47" customFormat="1" ht="24.95" customHeight="1">
      <c r="A20" s="339">
        <v>4</v>
      </c>
      <c r="B20" s="254" t="s">
        <v>163</v>
      </c>
      <c r="C20" s="64" t="str">
        <f>VLOOKUP(B20,'Salary -Dec-2024 (Full)'!$B$8:$AE$331,2,0)</f>
        <v>Md. Shopon Islam</v>
      </c>
      <c r="D20" s="115" t="str">
        <f>VLOOKUP(B20,'Salary -Dec-2024 (Full)'!$B$8:$AE$331,3,0)</f>
        <v>Service Engineer</v>
      </c>
      <c r="E20" s="65" t="str">
        <f>VLOOKUP(B20,'Salary -Dec-2024 (Full)'!$B$8:$AE$331,4,0)</f>
        <v>Technical</v>
      </c>
      <c r="F20" s="265">
        <f>VLOOKUP(B20,'Salary -Dec-2024 (Full)'!$B$8:$AE$331,5,0)</f>
        <v>44759</v>
      </c>
      <c r="G20" s="66">
        <f>VLOOKUP(B20,'Salary -Dec-2024 (Full)'!$B$8:$AE$331,6,0)</f>
        <v>31</v>
      </c>
      <c r="H20" s="67">
        <f>VLOOKUP(B$7:B$37,Attendance!$B$6:$L$385,11,0)</f>
        <v>0</v>
      </c>
      <c r="I20" s="66">
        <f t="shared" ref="I20:I25" si="49">G20-H20</f>
        <v>31</v>
      </c>
      <c r="J20" s="67">
        <f t="shared" ref="J20:J25" si="50">Q20/G20</f>
        <v>920.64516129032256</v>
      </c>
      <c r="K20" s="192">
        <f>VLOOKUP(B20,'Salary -Dec-2024 (Full)'!$B$6:$AE$383,10,0)</f>
        <v>28540</v>
      </c>
      <c r="L20" s="68">
        <f t="shared" ref="L20:L25" si="51">K20*60%</f>
        <v>17124</v>
      </c>
      <c r="M20" s="68">
        <f t="shared" ref="M20:M25" si="52">K20*30%</f>
        <v>8562</v>
      </c>
      <c r="N20" s="68">
        <f t="shared" ref="N20:N25" si="53">K20*6%</f>
        <v>1712.3999999999999</v>
      </c>
      <c r="O20" s="68">
        <f t="shared" ref="O20:O25" si="54">K20*4%</f>
        <v>1141.6000000000001</v>
      </c>
      <c r="P20" s="69"/>
      <c r="Q20" s="70">
        <f t="shared" ref="Q20:Q25" si="55">SUM(L20:P20)</f>
        <v>28540</v>
      </c>
      <c r="R20" s="70">
        <f>VLOOKUP(B20,'Salary -Dec-2024 (Full)'!$B$6:$AE$383,17,0)</f>
        <v>28540</v>
      </c>
      <c r="S20" s="192">
        <f>VLOOKUP(B20,'Salary -Dec-2024 (Full)'!$B$6:$AE$383,18,0)</f>
        <v>0</v>
      </c>
      <c r="T20" s="192">
        <f>VLOOKUP(B20,'Salary -Dec-2024 (Full)'!$B$6:$AE$383,19,0)</f>
        <v>0</v>
      </c>
      <c r="U20" s="337">
        <f>VLOOKUP(B20,'Salary -Dec-2024 (Full)'!$B$6:$AE$383,20,0)</f>
        <v>0</v>
      </c>
      <c r="V20" s="71">
        <f t="shared" ref="V20:V25" si="56">SUM(R20:U20)</f>
        <v>28540</v>
      </c>
      <c r="W20" s="192">
        <f>VLOOKUP(B20,'Salary -Dec-2024 (Full)'!$B$6:$AE$383,22,0)</f>
        <v>0</v>
      </c>
      <c r="X20" s="192">
        <f>VLOOKUP(B20,'Salary -Dec-2024 (Full)'!$B$6:$AE$383,23,0)</f>
        <v>0</v>
      </c>
      <c r="Y20" s="337">
        <f>VLOOKUP(B20,'Salary -Dec-2024 (Full)'!$B$6:$AE$383,24,0)</f>
        <v>856</v>
      </c>
      <c r="Z20" s="192">
        <f>VLOOKUP(B20,'Salary -Dec-2024 (Full)'!$B$6:$AE$383,25,0)</f>
        <v>1058</v>
      </c>
      <c r="AA20" s="192">
        <f>VLOOKUP(B20,'Salary -Dec-2024 (Full)'!$B$6:$AE$383,26,0)</f>
        <v>0</v>
      </c>
      <c r="AB20" s="377">
        <f t="shared" ref="AB20:AB25" si="57">SUM(W20:AA20)</f>
        <v>1914</v>
      </c>
      <c r="AC20" s="71">
        <f t="shared" ref="AC20:AC25" si="58">ROUND(V20-AB20,0)</f>
        <v>26626</v>
      </c>
      <c r="AD20" s="346" t="str">
        <f>VLOOKUP(B20,'Salary -Dec-2024 (Full)'!$B$6:$AE$383,29,0)</f>
        <v>Bank</v>
      </c>
      <c r="AE20" s="343" t="str">
        <f>VLOOKUP(B20,'Salary -Dec-2024 (Full)'!$B$6:$AE$2853,30,0)</f>
        <v>227.103.0178379</v>
      </c>
      <c r="AF20" s="383"/>
      <c r="AG20" s="543"/>
      <c r="AH20" s="548"/>
      <c r="AI20" s="548"/>
      <c r="AJ20" s="198"/>
      <c r="AK20" s="320"/>
      <c r="AL20" s="61"/>
      <c r="AM20" s="61"/>
      <c r="AN20" s="198"/>
      <c r="AO20" s="61"/>
    </row>
    <row r="21" spans="1:41" s="61" customFormat="1" ht="24.95" customHeight="1">
      <c r="A21" s="253">
        <v>5</v>
      </c>
      <c r="B21" s="254" t="s">
        <v>166</v>
      </c>
      <c r="C21" s="64" t="str">
        <f>VLOOKUP(B21,'Salary -Dec-2024 (Full)'!$B$8:$AE$331,2,0)</f>
        <v>Md. Nur Amin Arafat</v>
      </c>
      <c r="D21" s="115" t="str">
        <f>VLOOKUP(B21,'Salary -Dec-2024 (Full)'!$B$8:$AE$331,3,0)</f>
        <v>Service Engineer</v>
      </c>
      <c r="E21" s="65" t="str">
        <f>VLOOKUP(B21,'Salary -Dec-2024 (Full)'!$B$8:$AE$331,4,0)</f>
        <v>Technical</v>
      </c>
      <c r="F21" s="265">
        <f>VLOOKUP(B21,'Salary -Dec-2024 (Full)'!$B$8:$AE$331,5,0)</f>
        <v>44762</v>
      </c>
      <c r="G21" s="66">
        <f>VLOOKUP(B21,'Salary -Dec-2024 (Full)'!$B$8:$AE$331,6,0)</f>
        <v>31</v>
      </c>
      <c r="H21" s="67">
        <f>VLOOKUP(B$7:B$37,Attendance!$B$6:$L$385,11,0)</f>
        <v>0</v>
      </c>
      <c r="I21" s="66">
        <f t="shared" si="49"/>
        <v>31</v>
      </c>
      <c r="J21" s="67">
        <f t="shared" si="50"/>
        <v>872.25806451612902</v>
      </c>
      <c r="K21" s="192">
        <f>VLOOKUP(B21,'Salary -Dec-2024 (Full)'!$B$6:$AE$383,10,0)</f>
        <v>27040</v>
      </c>
      <c r="L21" s="68">
        <f t="shared" si="51"/>
        <v>16224</v>
      </c>
      <c r="M21" s="68">
        <f t="shared" si="52"/>
        <v>8112</v>
      </c>
      <c r="N21" s="68">
        <f t="shared" si="53"/>
        <v>1622.3999999999999</v>
      </c>
      <c r="O21" s="68">
        <f t="shared" si="54"/>
        <v>1081.5999999999999</v>
      </c>
      <c r="P21" s="69"/>
      <c r="Q21" s="70">
        <f t="shared" si="55"/>
        <v>27040</v>
      </c>
      <c r="R21" s="70">
        <f>VLOOKUP(B21,'Salary -Dec-2024 (Full)'!$B$6:$AE$383,17,0)</f>
        <v>27040</v>
      </c>
      <c r="S21" s="192">
        <f>VLOOKUP(B21,'Salary -Dec-2024 (Full)'!$B$6:$AE$383,18,0)</f>
        <v>0</v>
      </c>
      <c r="T21" s="192">
        <f>VLOOKUP(B21,'Salary -Dec-2024 (Full)'!$B$6:$AE$383,19,0)</f>
        <v>0</v>
      </c>
      <c r="U21" s="337">
        <f>VLOOKUP(B21,'Salary -Dec-2024 (Full)'!$B$6:$AE$383,20,0)</f>
        <v>0</v>
      </c>
      <c r="V21" s="71">
        <f t="shared" si="56"/>
        <v>27040</v>
      </c>
      <c r="W21" s="192">
        <f>VLOOKUP(B21,'Salary -Dec-2024 (Full)'!$B$6:$AE$383,22,0)</f>
        <v>0</v>
      </c>
      <c r="X21" s="192">
        <f>VLOOKUP(B21,'Salary -Dec-2024 (Full)'!$B$6:$AE$383,23,0)</f>
        <v>0</v>
      </c>
      <c r="Y21" s="337">
        <f>VLOOKUP(B21,'Salary -Dec-2024 (Full)'!$B$6:$AE$383,24,0)</f>
        <v>811</v>
      </c>
      <c r="Z21" s="192">
        <f>VLOOKUP(B21,'Salary -Dec-2024 (Full)'!$B$6:$AE$383,25,0)</f>
        <v>1058</v>
      </c>
      <c r="AA21" s="192">
        <f>VLOOKUP(B21,'Salary -Dec-2024 (Full)'!$B$6:$AE$383,26,0)</f>
        <v>0</v>
      </c>
      <c r="AB21" s="377">
        <f t="shared" si="57"/>
        <v>1869</v>
      </c>
      <c r="AC21" s="71">
        <f t="shared" si="58"/>
        <v>25171</v>
      </c>
      <c r="AD21" s="346" t="str">
        <f>VLOOKUP(B21,'Salary -Dec-2024 (Full)'!$B$6:$AE$383,29,0)</f>
        <v>Bank</v>
      </c>
      <c r="AE21" s="343" t="str">
        <f>VLOOKUP(B21,'Salary -Dec-2024 (Full)'!$B$6:$AE$2853,30,0)</f>
        <v>172.158.0042493</v>
      </c>
      <c r="AF21" s="383"/>
      <c r="AG21" s="543"/>
      <c r="AH21" s="548"/>
      <c r="AI21" s="548"/>
      <c r="AJ21" s="198"/>
      <c r="AK21" s="320"/>
      <c r="AN21" s="198"/>
    </row>
    <row r="22" spans="1:41" s="61" customFormat="1" ht="24.95" customHeight="1">
      <c r="A22" s="339">
        <v>6</v>
      </c>
      <c r="B22" s="254" t="s">
        <v>169</v>
      </c>
      <c r="C22" s="64" t="str">
        <f>VLOOKUP(B22,'Salary -Dec-2024 (Full)'!$B$8:$AE$331,2,0)</f>
        <v>Md. Ziaur Rahman Vulu</v>
      </c>
      <c r="D22" s="115" t="str">
        <f>VLOOKUP(B22,'Salary -Dec-2024 (Full)'!$B$8:$AE$331,3,0)</f>
        <v>Assistant Manager</v>
      </c>
      <c r="E22" s="65" t="str">
        <f>VLOOKUP(B22,'Salary -Dec-2024 (Full)'!$B$8:$AE$331,4,0)</f>
        <v>Technical</v>
      </c>
      <c r="F22" s="265">
        <f>VLOOKUP(B22,'Salary -Dec-2024 (Full)'!$B$8:$AE$331,5,0)</f>
        <v>44828</v>
      </c>
      <c r="G22" s="66">
        <f>VLOOKUP(B22,'Salary -Dec-2024 (Full)'!$B$8:$AE$331,6,0)</f>
        <v>31</v>
      </c>
      <c r="H22" s="67">
        <f>VLOOKUP(B$7:B$37,Attendance!$B$6:$L$385,11,0)</f>
        <v>0</v>
      </c>
      <c r="I22" s="66">
        <f t="shared" si="49"/>
        <v>31</v>
      </c>
      <c r="J22" s="67">
        <f t="shared" si="50"/>
        <v>1369.3548387096773</v>
      </c>
      <c r="K22" s="192">
        <f>VLOOKUP(B22,'Salary -Dec-2024 (Full)'!$B$6:$AE$383,10,0)</f>
        <v>42450</v>
      </c>
      <c r="L22" s="68">
        <f t="shared" si="51"/>
        <v>25470</v>
      </c>
      <c r="M22" s="68">
        <f t="shared" si="52"/>
        <v>12735</v>
      </c>
      <c r="N22" s="68">
        <f t="shared" si="53"/>
        <v>2547</v>
      </c>
      <c r="O22" s="68">
        <f t="shared" si="54"/>
        <v>1698</v>
      </c>
      <c r="P22" s="69"/>
      <c r="Q22" s="70">
        <f t="shared" si="55"/>
        <v>42450</v>
      </c>
      <c r="R22" s="70">
        <f>VLOOKUP(B22,'Salary -Dec-2024 (Full)'!$B$6:$AE$383,17,0)</f>
        <v>42450</v>
      </c>
      <c r="S22" s="192">
        <f>VLOOKUP(B22,'Salary -Dec-2024 (Full)'!$B$6:$AE$383,18,0)</f>
        <v>0</v>
      </c>
      <c r="T22" s="192">
        <f>VLOOKUP(B22,'Salary -Dec-2024 (Full)'!$B$6:$AE$383,19,0)</f>
        <v>0</v>
      </c>
      <c r="U22" s="337">
        <f>VLOOKUP(B22,'Salary -Dec-2024 (Full)'!$B$6:$AE$383,20,0)</f>
        <v>0</v>
      </c>
      <c r="V22" s="71">
        <f t="shared" si="56"/>
        <v>42450</v>
      </c>
      <c r="W22" s="192">
        <f>VLOOKUP(B22,'Salary -Dec-2024 (Full)'!$B$6:$AE$383,22,0)</f>
        <v>715</v>
      </c>
      <c r="X22" s="192">
        <f>VLOOKUP(B22,'Salary -Dec-2024 (Full)'!$B$6:$AE$383,23,0)</f>
        <v>300</v>
      </c>
      <c r="Y22" s="337">
        <f>VLOOKUP(B22,'Salary -Dec-2024 (Full)'!$B$6:$AE$383,24,0)</f>
        <v>1274</v>
      </c>
      <c r="Z22" s="192">
        <f>VLOOKUP(B22,'Salary -Dec-2024 (Full)'!$B$6:$AE$383,25,0)</f>
        <v>0</v>
      </c>
      <c r="AA22" s="192">
        <f>VLOOKUP(B22,'Salary -Dec-2024 (Full)'!$B$6:$AE$383,26,0)</f>
        <v>0</v>
      </c>
      <c r="AB22" s="377">
        <f t="shared" si="57"/>
        <v>2289</v>
      </c>
      <c r="AC22" s="71">
        <f t="shared" si="58"/>
        <v>40161</v>
      </c>
      <c r="AD22" s="346" t="str">
        <f>VLOOKUP(B22,'Salary -Dec-2024 (Full)'!$B$6:$AE$383,29,0)</f>
        <v>Bank</v>
      </c>
      <c r="AE22" s="343" t="str">
        <f>VLOOKUP(B22,'Salary -Dec-2024 (Full)'!$B$6:$AE$2853,30,0)</f>
        <v>163.103.0046815</v>
      </c>
      <c r="AF22" s="383"/>
      <c r="AG22" s="543"/>
      <c r="AH22" s="548"/>
      <c r="AI22" s="548"/>
      <c r="AJ22" s="198"/>
      <c r="AK22" s="320"/>
      <c r="AN22" s="198"/>
    </row>
    <row r="23" spans="1:41" s="61" customFormat="1" ht="33">
      <c r="A23" s="253">
        <v>7</v>
      </c>
      <c r="B23" s="254" t="s">
        <v>560</v>
      </c>
      <c r="C23" s="64" t="str">
        <f>VLOOKUP(B23,'Salary -Dec-2024 (Full)'!$B$8:$AE$331,2,0)</f>
        <v>Md. Shoiyeb Hasan Sajal</v>
      </c>
      <c r="D23" s="115" t="str">
        <f>VLOOKUP(B23,'Salary -Dec-2024 (Full)'!$B$8:$AE$331,3,0)</f>
        <v>Territorry Service Manager</v>
      </c>
      <c r="E23" s="65" t="str">
        <f>VLOOKUP(B23,'Salary -Dec-2024 (Full)'!$B$8:$AE$331,4,0)</f>
        <v>Technical</v>
      </c>
      <c r="F23" s="265">
        <f>VLOOKUP(B23,'Salary -Dec-2024 (Full)'!$B$8:$AE$331,5,0)</f>
        <v>44979</v>
      </c>
      <c r="G23" s="66">
        <f>VLOOKUP(B23,'Salary -Dec-2024 (Full)'!$B$8:$AE$331,6,0)</f>
        <v>31</v>
      </c>
      <c r="H23" s="67">
        <f>VLOOKUP(B$7:B$37,Attendance!$B$6:$L$385,11,0)</f>
        <v>0</v>
      </c>
      <c r="I23" s="66">
        <f t="shared" si="49"/>
        <v>31</v>
      </c>
      <c r="J23" s="67">
        <f t="shared" si="50"/>
        <v>1516.1290322580646</v>
      </c>
      <c r="K23" s="192">
        <f>VLOOKUP(B23,'Salary -Dec-2024 (Full)'!$B$6:$AE$383,10,0)</f>
        <v>47000</v>
      </c>
      <c r="L23" s="68">
        <f t="shared" si="51"/>
        <v>28200</v>
      </c>
      <c r="M23" s="68">
        <f t="shared" si="52"/>
        <v>14100</v>
      </c>
      <c r="N23" s="68">
        <f t="shared" si="53"/>
        <v>2820</v>
      </c>
      <c r="O23" s="68">
        <f t="shared" si="54"/>
        <v>1880</v>
      </c>
      <c r="P23" s="69"/>
      <c r="Q23" s="70">
        <f t="shared" si="55"/>
        <v>47000</v>
      </c>
      <c r="R23" s="70">
        <f>VLOOKUP(B23,'Salary -Dec-2024 (Full)'!$B$6:$AE$383,17,0)</f>
        <v>47000</v>
      </c>
      <c r="S23" s="192">
        <f>VLOOKUP(B23,'Salary -Dec-2024 (Full)'!$B$6:$AE$383,18,0)</f>
        <v>0</v>
      </c>
      <c r="T23" s="192">
        <f>VLOOKUP(B23,'Salary -Dec-2024 (Full)'!$B$6:$AE$383,19,0)</f>
        <v>0</v>
      </c>
      <c r="U23" s="337">
        <f>VLOOKUP(B23,'Salary -Dec-2024 (Full)'!$B$6:$AE$383,20,0)</f>
        <v>0</v>
      </c>
      <c r="V23" s="71">
        <f t="shared" si="56"/>
        <v>47000</v>
      </c>
      <c r="W23" s="192">
        <f>VLOOKUP(B23,'Salary -Dec-2024 (Full)'!$B$6:$AE$383,22,0)</f>
        <v>417</v>
      </c>
      <c r="X23" s="192">
        <f>VLOOKUP(B23,'Salary -Dec-2024 (Full)'!$B$6:$AE$383,23,0)</f>
        <v>0</v>
      </c>
      <c r="Y23" s="337">
        <f>VLOOKUP(B23,'Salary -Dec-2024 (Full)'!$B$6:$AE$383,24,0)</f>
        <v>1410</v>
      </c>
      <c r="Z23" s="192">
        <f>VLOOKUP(B23,'Salary -Dec-2024 (Full)'!$B$6:$AE$383,25,0)</f>
        <v>0</v>
      </c>
      <c r="AA23" s="192">
        <f>VLOOKUP(B23,'Salary -Dec-2024 (Full)'!$B$6:$AE$383,26,0)</f>
        <v>0</v>
      </c>
      <c r="AB23" s="377">
        <f t="shared" si="57"/>
        <v>1827</v>
      </c>
      <c r="AC23" s="71">
        <f t="shared" si="58"/>
        <v>45173</v>
      </c>
      <c r="AD23" s="346" t="str">
        <f>VLOOKUP(B23,'Salary -Dec-2024 (Full)'!$B$6:$AE$383,29,0)</f>
        <v>Bank</v>
      </c>
      <c r="AE23" s="343" t="str">
        <f>VLOOKUP(B23,'Salary -Dec-2024 (Full)'!$B$6:$AE$2853,30,0)</f>
        <v>162.103.0232278</v>
      </c>
      <c r="AF23" s="383"/>
      <c r="AG23" s="543"/>
      <c r="AH23" s="548"/>
      <c r="AI23" s="548"/>
      <c r="AJ23" s="198"/>
      <c r="AK23" s="320"/>
      <c r="AN23" s="198"/>
    </row>
    <row r="24" spans="1:41" s="61" customFormat="1" ht="24.95" customHeight="1">
      <c r="A24" s="339">
        <v>8</v>
      </c>
      <c r="B24" s="254" t="s">
        <v>662</v>
      </c>
      <c r="C24" s="64" t="str">
        <f>VLOOKUP(B24,'Salary -Dec-2024 (Full)'!$B$8:$AE$331,2,0)</f>
        <v>Md. Asaduzzaman</v>
      </c>
      <c r="D24" s="115" t="str">
        <f>VLOOKUP(B24,'Salary -Dec-2024 (Full)'!$B$8:$AE$331,3,0)</f>
        <v>Trainee Engineer</v>
      </c>
      <c r="E24" s="65" t="str">
        <f>VLOOKUP(B24,'Salary -Dec-2024 (Full)'!$B$8:$AE$331,4,0)</f>
        <v>Technical</v>
      </c>
      <c r="F24" s="265">
        <f>VLOOKUP(B24,'Salary -Dec-2024 (Full)'!$B$8:$AE$331,5,0)</f>
        <v>45061</v>
      </c>
      <c r="G24" s="66">
        <f>VLOOKUP(B24,'Salary -Dec-2024 (Full)'!$B$8:$AE$331,6,0)</f>
        <v>31</v>
      </c>
      <c r="H24" s="67">
        <f>VLOOKUP(B$7:B$37,Attendance!$B$6:$L$385,11,0)</f>
        <v>0</v>
      </c>
      <c r="I24" s="66">
        <f t="shared" si="49"/>
        <v>31</v>
      </c>
      <c r="J24" s="67">
        <f t="shared" si="50"/>
        <v>677.41935483870964</v>
      </c>
      <c r="K24" s="192">
        <f>VLOOKUP(B24,'Salary -Dec-2024 (Full)'!$B$6:$AE$383,10,0)</f>
        <v>21000</v>
      </c>
      <c r="L24" s="68">
        <f t="shared" si="51"/>
        <v>12600</v>
      </c>
      <c r="M24" s="68">
        <f t="shared" si="52"/>
        <v>6300</v>
      </c>
      <c r="N24" s="68">
        <f t="shared" si="53"/>
        <v>1260</v>
      </c>
      <c r="O24" s="68">
        <f t="shared" si="54"/>
        <v>840</v>
      </c>
      <c r="P24" s="69"/>
      <c r="Q24" s="70">
        <f t="shared" si="55"/>
        <v>21000</v>
      </c>
      <c r="R24" s="70">
        <f>VLOOKUP(B24,'Salary -Dec-2024 (Full)'!$B$6:$AE$383,17,0)</f>
        <v>21000</v>
      </c>
      <c r="S24" s="192">
        <f>VLOOKUP(B24,'Salary -Dec-2024 (Full)'!$B$6:$AE$383,18,0)</f>
        <v>0</v>
      </c>
      <c r="T24" s="192">
        <f>VLOOKUP(B24,'Salary -Dec-2024 (Full)'!$B$6:$AE$383,19,0)</f>
        <v>0</v>
      </c>
      <c r="U24" s="337">
        <f>VLOOKUP(B24,'Salary -Dec-2024 (Full)'!$B$6:$AE$383,20,0)</f>
        <v>0</v>
      </c>
      <c r="V24" s="71">
        <f t="shared" si="56"/>
        <v>21000</v>
      </c>
      <c r="W24" s="192">
        <f>VLOOKUP(B24,'Salary -Dec-2024 (Full)'!$B$6:$AE$383,22,0)</f>
        <v>0</v>
      </c>
      <c r="X24" s="192">
        <f>VLOOKUP(B24,'Salary -Dec-2024 (Full)'!$B$6:$AE$383,23,0)</f>
        <v>0</v>
      </c>
      <c r="Y24" s="337">
        <f>VLOOKUP(B24,'Salary -Dec-2024 (Full)'!$B$6:$AE$383,24,0)</f>
        <v>630</v>
      </c>
      <c r="Z24" s="192">
        <f>VLOOKUP(B24,'Salary -Dec-2024 (Full)'!$B$6:$AE$383,25,0)</f>
        <v>2175</v>
      </c>
      <c r="AA24" s="192">
        <f>VLOOKUP(B24,'Salary -Dec-2024 (Full)'!$B$6:$AE$383,26,0)</f>
        <v>0</v>
      </c>
      <c r="AB24" s="377">
        <f t="shared" si="57"/>
        <v>2805</v>
      </c>
      <c r="AC24" s="71">
        <f t="shared" si="58"/>
        <v>18195</v>
      </c>
      <c r="AD24" s="346" t="str">
        <f>VLOOKUP(B24,'Salary -Dec-2024 (Full)'!$B$6:$AE$383,29,0)</f>
        <v>Bank</v>
      </c>
      <c r="AE24" s="343" t="str">
        <f>VLOOKUP(B24,'Salary -Dec-2024 (Full)'!$B$6:$AE$2853,30,0)</f>
        <v>172.103.0055416</v>
      </c>
      <c r="AF24" s="383"/>
      <c r="AG24" s="543"/>
      <c r="AH24" s="548"/>
      <c r="AI24" s="548"/>
      <c r="AJ24" s="198"/>
      <c r="AK24" s="320"/>
      <c r="AN24" s="198"/>
    </row>
    <row r="25" spans="1:41" s="61" customFormat="1" ht="24.95" customHeight="1">
      <c r="A25" s="253">
        <v>9</v>
      </c>
      <c r="B25" s="254" t="s">
        <v>1235</v>
      </c>
      <c r="C25" s="64" t="str">
        <f>VLOOKUP(B25,'Salary -Dec-2024 (Full)'!$B$8:$AE$331,2,0)</f>
        <v>Md Raju Ahammed</v>
      </c>
      <c r="D25" s="115" t="str">
        <f>VLOOKUP(B25,'Salary -Dec-2024 (Full)'!$B$8:$AE$331,3,0)</f>
        <v>Sr. Service Engineer</v>
      </c>
      <c r="E25" s="65" t="str">
        <f>VLOOKUP(B25,'Salary -Dec-2024 (Full)'!$B$8:$AE$331,4,0)</f>
        <v>Technical</v>
      </c>
      <c r="F25" s="265">
        <f>VLOOKUP(B25,'Salary -Dec-2024 (Full)'!$B$8:$AE$331,5,0)</f>
        <v>45370</v>
      </c>
      <c r="G25" s="66">
        <f>VLOOKUP(B25,'Salary -Dec-2024 (Full)'!$B$8:$AE$331,6,0)</f>
        <v>31</v>
      </c>
      <c r="H25" s="67">
        <f>VLOOKUP(B$7:B$37,Attendance!$B$6:$L$385,11,0)</f>
        <v>0</v>
      </c>
      <c r="I25" s="66">
        <f t="shared" si="49"/>
        <v>31</v>
      </c>
      <c r="J25" s="67">
        <f t="shared" si="50"/>
        <v>903.22580645161293</v>
      </c>
      <c r="K25" s="192">
        <f>VLOOKUP(B25,'Salary -Dec-2024 (Full)'!$B$6:$AE$383,10,0)</f>
        <v>28000</v>
      </c>
      <c r="L25" s="68">
        <f t="shared" si="51"/>
        <v>16800</v>
      </c>
      <c r="M25" s="68">
        <f t="shared" si="52"/>
        <v>8400</v>
      </c>
      <c r="N25" s="68">
        <f t="shared" si="53"/>
        <v>1680</v>
      </c>
      <c r="O25" s="68">
        <f t="shared" si="54"/>
        <v>1120</v>
      </c>
      <c r="P25" s="69"/>
      <c r="Q25" s="70">
        <f t="shared" si="55"/>
        <v>28000</v>
      </c>
      <c r="R25" s="70">
        <f>VLOOKUP(B25,'Salary -Dec-2024 (Full)'!$B$6:$AE$383,17,0)</f>
        <v>28000</v>
      </c>
      <c r="S25" s="192">
        <f>VLOOKUP(B25,'Salary -Dec-2024 (Full)'!$B$6:$AE$383,18,0)</f>
        <v>0</v>
      </c>
      <c r="T25" s="192">
        <f>VLOOKUP(B25,'Salary -Dec-2024 (Full)'!$B$6:$AE$383,19,0)</f>
        <v>0</v>
      </c>
      <c r="U25" s="337">
        <f>VLOOKUP(B25,'Salary -Dec-2024 (Full)'!$B$6:$AE$383,20,0)</f>
        <v>0</v>
      </c>
      <c r="V25" s="71">
        <f t="shared" si="56"/>
        <v>28000</v>
      </c>
      <c r="W25" s="192">
        <f>VLOOKUP(B25,'Salary -Dec-2024 (Full)'!$B$6:$AE$383,22,0)</f>
        <v>0</v>
      </c>
      <c r="X25" s="192">
        <f>VLOOKUP(B25,'Salary -Dec-2024 (Full)'!$B$6:$AE$383,23,0)</f>
        <v>0</v>
      </c>
      <c r="Y25" s="337">
        <f>VLOOKUP(B25,'Salary -Dec-2024 (Full)'!$B$6:$AE$383,24,0)</f>
        <v>0</v>
      </c>
      <c r="Z25" s="192">
        <f>VLOOKUP(B25,'Salary -Dec-2024 (Full)'!$B$6:$AE$383,25,0)</f>
        <v>0</v>
      </c>
      <c r="AA25" s="192">
        <f>VLOOKUP(B25,'Salary -Dec-2024 (Full)'!$B$6:$AE$383,26,0)</f>
        <v>0</v>
      </c>
      <c r="AB25" s="377">
        <f t="shared" si="57"/>
        <v>0</v>
      </c>
      <c r="AC25" s="71">
        <f t="shared" si="58"/>
        <v>28000</v>
      </c>
      <c r="AD25" s="346" t="str">
        <f>VLOOKUP(B25,'Salary -Dec-2024 (Full)'!$B$6:$AE$383,29,0)</f>
        <v>Bank</v>
      </c>
      <c r="AE25" s="343" t="str">
        <f>VLOOKUP(B25,'Salary -Dec-2024 (Full)'!$B$6:$AE$2853,30,0)</f>
        <v>151.151.0184084</v>
      </c>
      <c r="AF25" s="383"/>
      <c r="AG25" s="543"/>
      <c r="AH25" s="548"/>
      <c r="AI25" s="548"/>
      <c r="AJ25" s="198"/>
      <c r="AK25" s="320"/>
      <c r="AN25" s="198"/>
    </row>
    <row r="26" spans="1:41" s="61" customFormat="1" ht="24.95" customHeight="1">
      <c r="A26" s="339">
        <v>10</v>
      </c>
      <c r="B26" s="254" t="s">
        <v>120</v>
      </c>
      <c r="C26" s="64" t="str">
        <f>VLOOKUP(B26,'Salary -Dec-2024 (Full)'!$B$8:$AE$331,2,0)</f>
        <v>Md. Bellal Hossain</v>
      </c>
      <c r="D26" s="115" t="str">
        <f>VLOOKUP(B26,'Salary -Dec-2024 (Full)'!$B$8:$AE$331,3,0)</f>
        <v>Mechanic</v>
      </c>
      <c r="E26" s="65" t="str">
        <f>VLOOKUP(B26,'Salary -Dec-2024 (Full)'!$B$8:$AE$331,4,0)</f>
        <v>Technical</v>
      </c>
      <c r="F26" s="265">
        <f>VLOOKUP(B26,'Salary -Dec-2024 (Full)'!$B$8:$AE$331,5,0)</f>
        <v>44650</v>
      </c>
      <c r="G26" s="66">
        <f>VLOOKUP(B26,'Salary -Dec-2024 (Full)'!$B$8:$AE$331,6,0)</f>
        <v>31</v>
      </c>
      <c r="H26" s="67">
        <f>VLOOKUP(B$7:B$37,Attendance!$B$6:$L$385,11,0)</f>
        <v>0</v>
      </c>
      <c r="I26" s="66">
        <f t="shared" ref="I26:I34" si="59">G26-H26</f>
        <v>31</v>
      </c>
      <c r="J26" s="67">
        <f t="shared" ref="J26:J34" si="60">Q26/G26</f>
        <v>550</v>
      </c>
      <c r="K26" s="192">
        <f>VLOOKUP(B26,'Salary -Dec-2024 (Full)'!$B$6:$AE$383,10,0)</f>
        <v>17050</v>
      </c>
      <c r="L26" s="68">
        <f t="shared" ref="L26:L34" si="61">K26*60%</f>
        <v>10230</v>
      </c>
      <c r="M26" s="68">
        <f t="shared" ref="M26:M34" si="62">K26*30%</f>
        <v>5115</v>
      </c>
      <c r="N26" s="68">
        <f t="shared" ref="N26:N34" si="63">K26*6%</f>
        <v>1023</v>
      </c>
      <c r="O26" s="68">
        <f t="shared" ref="O26:O34" si="64">K26*4%</f>
        <v>682</v>
      </c>
      <c r="P26" s="69"/>
      <c r="Q26" s="70">
        <f t="shared" ref="Q26:Q34" si="65">SUM(L26:P26)</f>
        <v>17050</v>
      </c>
      <c r="R26" s="70">
        <f>VLOOKUP(B26,'Salary -Dec-2024 (Full)'!$B$6:$AE$383,17,0)</f>
        <v>17050</v>
      </c>
      <c r="S26" s="192">
        <f>VLOOKUP(B26,'Salary -Dec-2024 (Full)'!$B$6:$AE$383,18,0)</f>
        <v>0</v>
      </c>
      <c r="T26" s="192">
        <f>VLOOKUP(B26,'Salary -Dec-2024 (Full)'!$B$6:$AE$383,19,0)</f>
        <v>0</v>
      </c>
      <c r="U26" s="337">
        <f>VLOOKUP(B26,'Salary -Dec-2024 (Full)'!$B$6:$AE$383,20,0)</f>
        <v>0</v>
      </c>
      <c r="V26" s="71">
        <f t="shared" ref="V26:V34" si="66">SUM(R26:U26)</f>
        <v>17050</v>
      </c>
      <c r="W26" s="192">
        <f>VLOOKUP(B26,'Salary -Dec-2024 (Full)'!$B$6:$AE$383,22,0)</f>
        <v>0</v>
      </c>
      <c r="X26" s="192">
        <f>VLOOKUP(B26,'Salary -Dec-2024 (Full)'!$B$6:$AE$383,23,0)</f>
        <v>0</v>
      </c>
      <c r="Y26" s="337">
        <f>VLOOKUP(B26,'Salary -Dec-2024 (Full)'!$B$6:$AE$383,24,0)</f>
        <v>512</v>
      </c>
      <c r="Z26" s="192">
        <f>VLOOKUP(B26,'Salary -Dec-2024 (Full)'!$B$6:$AE$383,25,0)</f>
        <v>0</v>
      </c>
      <c r="AA26" s="192">
        <f>VLOOKUP(B26,'Salary -Dec-2024 (Full)'!$B$6:$AE$383,26,0)</f>
        <v>0</v>
      </c>
      <c r="AB26" s="377">
        <f t="shared" ref="AB26:AB34" si="67">SUM(W26:AA26)</f>
        <v>512</v>
      </c>
      <c r="AC26" s="71">
        <f t="shared" ref="AC26:AC34" si="68">ROUND(V26-AB26,0)</f>
        <v>16538</v>
      </c>
      <c r="AD26" s="346" t="str">
        <f>VLOOKUP(B26,'Salary -Dec-2024 (Full)'!$B$6:$AE$383,29,0)</f>
        <v>Bank</v>
      </c>
      <c r="AE26" s="343" t="str">
        <f>VLOOKUP(B26,'Salary -Dec-2024 (Full)'!$B$6:$AE$2853,30,0)</f>
        <v>127.158.0056084</v>
      </c>
      <c r="AF26" s="383"/>
      <c r="AG26" s="543"/>
      <c r="AH26" s="548"/>
      <c r="AI26" s="548"/>
      <c r="AJ26" s="198"/>
      <c r="AK26" s="320"/>
      <c r="AN26" s="198"/>
    </row>
    <row r="27" spans="1:41" s="61" customFormat="1" ht="24.95" customHeight="1">
      <c r="A27" s="253">
        <v>11</v>
      </c>
      <c r="B27" s="254" t="s">
        <v>562</v>
      </c>
      <c r="C27" s="64" t="str">
        <f>VLOOKUP(B27,'Salary -Dec-2024 (Full)'!$B$8:$AE$331,2,0)</f>
        <v>Al Farabie Mubashir</v>
      </c>
      <c r="D27" s="115" t="str">
        <f>VLOOKUP(B27,'Salary -Dec-2024 (Full)'!$B$8:$AE$331,3,0)</f>
        <v>Trainee Engineer</v>
      </c>
      <c r="E27" s="65" t="str">
        <f>VLOOKUP(B27,'Salary -Dec-2024 (Full)'!$B$8:$AE$331,4,0)</f>
        <v>Technical</v>
      </c>
      <c r="F27" s="265">
        <f>VLOOKUP(B27,'Salary -Dec-2024 (Full)'!$B$8:$AE$331,5,0)</f>
        <v>44972</v>
      </c>
      <c r="G27" s="66">
        <f>VLOOKUP(B27,'Salary -Dec-2024 (Full)'!$B$8:$AE$331,6,0)</f>
        <v>31</v>
      </c>
      <c r="H27" s="67">
        <f>VLOOKUP(B$7:B$37,Attendance!$B$6:$L$385,11,0)</f>
        <v>0</v>
      </c>
      <c r="I27" s="66">
        <f t="shared" si="59"/>
        <v>31</v>
      </c>
      <c r="J27" s="67">
        <f t="shared" si="60"/>
        <v>693.54838709677415</v>
      </c>
      <c r="K27" s="192">
        <f>VLOOKUP(B27,'Salary -Dec-2024 (Full)'!$B$6:$AE$383,10,0)</f>
        <v>21500</v>
      </c>
      <c r="L27" s="68">
        <f t="shared" si="61"/>
        <v>12900</v>
      </c>
      <c r="M27" s="68">
        <f t="shared" si="62"/>
        <v>6450</v>
      </c>
      <c r="N27" s="68">
        <f t="shared" si="63"/>
        <v>1290</v>
      </c>
      <c r="O27" s="68">
        <f t="shared" si="64"/>
        <v>860</v>
      </c>
      <c r="P27" s="69"/>
      <c r="Q27" s="70">
        <f t="shared" si="65"/>
        <v>21500</v>
      </c>
      <c r="R27" s="70">
        <f>VLOOKUP(B27,'Salary -Dec-2024 (Full)'!$B$6:$AE$383,17,0)</f>
        <v>21500</v>
      </c>
      <c r="S27" s="192">
        <f>VLOOKUP(B27,'Salary -Dec-2024 (Full)'!$B$6:$AE$383,18,0)</f>
        <v>0</v>
      </c>
      <c r="T27" s="192">
        <f>VLOOKUP(B27,'Salary -Dec-2024 (Full)'!$B$6:$AE$383,19,0)</f>
        <v>0</v>
      </c>
      <c r="U27" s="337">
        <f>VLOOKUP(B27,'Salary -Dec-2024 (Full)'!$B$6:$AE$383,20,0)</f>
        <v>0</v>
      </c>
      <c r="V27" s="71">
        <f t="shared" si="66"/>
        <v>21500</v>
      </c>
      <c r="W27" s="192">
        <f>VLOOKUP(B27,'Salary -Dec-2024 (Full)'!$B$6:$AE$383,22,0)</f>
        <v>0</v>
      </c>
      <c r="X27" s="192">
        <f>VLOOKUP(B27,'Salary -Dec-2024 (Full)'!$B$6:$AE$383,23,0)</f>
        <v>0</v>
      </c>
      <c r="Y27" s="337">
        <f>VLOOKUP(B27,'Salary -Dec-2024 (Full)'!$B$6:$AE$383,24,0)</f>
        <v>645</v>
      </c>
      <c r="Z27" s="192">
        <f>VLOOKUP(B27,'Salary -Dec-2024 (Full)'!$B$6:$AE$383,25,0)</f>
        <v>2160</v>
      </c>
      <c r="AA27" s="192">
        <f>VLOOKUP(B27,'Salary -Dec-2024 (Full)'!$B$6:$AE$383,26,0)</f>
        <v>0</v>
      </c>
      <c r="AB27" s="377">
        <f t="shared" si="67"/>
        <v>2805</v>
      </c>
      <c r="AC27" s="71">
        <f t="shared" si="68"/>
        <v>18695</v>
      </c>
      <c r="AD27" s="346" t="str">
        <f>VLOOKUP(B27,'Salary -Dec-2024 (Full)'!$B$6:$AE$383,29,0)</f>
        <v>Bank</v>
      </c>
      <c r="AE27" s="343" t="str">
        <f>VLOOKUP(B27,'Salary -Dec-2024 (Full)'!$B$6:$AE$2853,30,0)</f>
        <v>156.105.0305030</v>
      </c>
      <c r="AF27" s="383"/>
      <c r="AG27" s="543"/>
      <c r="AH27" s="548"/>
      <c r="AI27" s="548"/>
      <c r="AJ27" s="198"/>
      <c r="AK27" s="320"/>
      <c r="AN27" s="198"/>
    </row>
    <row r="28" spans="1:41" s="61" customFormat="1" ht="24.95" customHeight="1">
      <c r="A28" s="339">
        <v>12</v>
      </c>
      <c r="B28" s="254" t="s">
        <v>606</v>
      </c>
      <c r="C28" s="64" t="str">
        <f>VLOOKUP(B28,'Salary -Dec-2024 (Full)'!$B$8:$AE$331,2,0)</f>
        <v>Md. Nur Sayed</v>
      </c>
      <c r="D28" s="115" t="str">
        <f>VLOOKUP(B28,'Salary -Dec-2024 (Full)'!$B$8:$AE$331,3,0)</f>
        <v>Mechanic</v>
      </c>
      <c r="E28" s="65" t="str">
        <f>VLOOKUP(B28,'Salary -Dec-2024 (Full)'!$B$8:$AE$331,4,0)</f>
        <v>Technical</v>
      </c>
      <c r="F28" s="265">
        <f>VLOOKUP(B28,'Salary -Dec-2024 (Full)'!$B$8:$AE$331,5,0)</f>
        <v>45021</v>
      </c>
      <c r="G28" s="66">
        <f>VLOOKUP(B28,'Salary -Dec-2024 (Full)'!$B$8:$AE$331,6,0)</f>
        <v>31</v>
      </c>
      <c r="H28" s="67">
        <f>VLOOKUP(B$7:B$37,Attendance!$B$6:$L$385,11,0)</f>
        <v>0</v>
      </c>
      <c r="I28" s="66">
        <f t="shared" si="59"/>
        <v>31</v>
      </c>
      <c r="J28" s="67">
        <f t="shared" si="60"/>
        <v>745.16129032258061</v>
      </c>
      <c r="K28" s="192">
        <f>VLOOKUP(B28,'Salary -Dec-2024 (Full)'!$B$6:$AE$383,10,0)</f>
        <v>23100</v>
      </c>
      <c r="L28" s="68">
        <f t="shared" si="61"/>
        <v>13860</v>
      </c>
      <c r="M28" s="68">
        <f t="shared" si="62"/>
        <v>6930</v>
      </c>
      <c r="N28" s="68">
        <f t="shared" si="63"/>
        <v>1386</v>
      </c>
      <c r="O28" s="68">
        <f t="shared" si="64"/>
        <v>924</v>
      </c>
      <c r="P28" s="69"/>
      <c r="Q28" s="70">
        <f t="shared" si="65"/>
        <v>23100</v>
      </c>
      <c r="R28" s="70">
        <f>VLOOKUP(B28,'Salary -Dec-2024 (Full)'!$B$6:$AE$383,17,0)</f>
        <v>23100</v>
      </c>
      <c r="S28" s="192">
        <f>VLOOKUP(B28,'Salary -Dec-2024 (Full)'!$B$6:$AE$383,18,0)</f>
        <v>0</v>
      </c>
      <c r="T28" s="192">
        <f>VLOOKUP(B28,'Salary -Dec-2024 (Full)'!$B$6:$AE$383,19,0)</f>
        <v>0</v>
      </c>
      <c r="U28" s="337">
        <f>VLOOKUP(B28,'Salary -Dec-2024 (Full)'!$B$6:$AE$383,20,0)</f>
        <v>0</v>
      </c>
      <c r="V28" s="71">
        <f t="shared" si="66"/>
        <v>23100</v>
      </c>
      <c r="W28" s="192">
        <f>VLOOKUP(B28,'Salary -Dec-2024 (Full)'!$B$6:$AE$383,22,0)</f>
        <v>0</v>
      </c>
      <c r="X28" s="192">
        <f>VLOOKUP(B28,'Salary -Dec-2024 (Full)'!$B$6:$AE$383,23,0)</f>
        <v>0</v>
      </c>
      <c r="Y28" s="337">
        <f>VLOOKUP(B28,'Salary -Dec-2024 (Full)'!$B$6:$AE$383,24,0)</f>
        <v>693</v>
      </c>
      <c r="Z28" s="192">
        <f>VLOOKUP(B28,'Salary -Dec-2024 (Full)'!$B$6:$AE$383,25,0)</f>
        <v>2000</v>
      </c>
      <c r="AA28" s="192">
        <f>VLOOKUP(B28,'Salary -Dec-2024 (Full)'!$B$6:$AE$383,26,0)</f>
        <v>0</v>
      </c>
      <c r="AB28" s="377">
        <f t="shared" si="67"/>
        <v>2693</v>
      </c>
      <c r="AC28" s="71">
        <f t="shared" si="68"/>
        <v>20407</v>
      </c>
      <c r="AD28" s="346" t="str">
        <f>VLOOKUP(B28,'Salary -Dec-2024 (Full)'!$B$6:$AE$383,29,0)</f>
        <v>Bank</v>
      </c>
      <c r="AE28" s="343" t="str">
        <f>VLOOKUP(B28,'Salary -Dec-2024 (Full)'!$B$6:$AE$2853,30,0)</f>
        <v>262.158.0049028</v>
      </c>
      <c r="AF28" s="383"/>
      <c r="AG28" s="543"/>
      <c r="AH28" s="548"/>
      <c r="AI28" s="548"/>
      <c r="AJ28" s="198"/>
      <c r="AK28" s="320"/>
      <c r="AN28" s="198"/>
    </row>
    <row r="29" spans="1:41" s="61" customFormat="1" ht="24.95" customHeight="1">
      <c r="A29" s="253">
        <v>13</v>
      </c>
      <c r="B29" s="254" t="s">
        <v>613</v>
      </c>
      <c r="C29" s="64" t="str">
        <f>VLOOKUP(B29,'Salary -Dec-2024 (Full)'!$B$8:$AE$331,2,0)</f>
        <v>Md. Abdur Rahim</v>
      </c>
      <c r="D29" s="115" t="str">
        <f>VLOOKUP(B29,'Salary -Dec-2024 (Full)'!$B$8:$AE$331,3,0)</f>
        <v>Mechanic</v>
      </c>
      <c r="E29" s="65" t="str">
        <f>VLOOKUP(B29,'Salary -Dec-2024 (Full)'!$B$8:$AE$331,4,0)</f>
        <v>Technical</v>
      </c>
      <c r="F29" s="265">
        <f>VLOOKUP(B29,'Salary -Dec-2024 (Full)'!$B$8:$AE$331,5,0)</f>
        <v>45024</v>
      </c>
      <c r="G29" s="66">
        <f>VLOOKUP(B29,'Salary -Dec-2024 (Full)'!$B$8:$AE$331,6,0)</f>
        <v>31</v>
      </c>
      <c r="H29" s="67">
        <f>VLOOKUP(B$7:B$37,Attendance!$B$6:$L$385,11,0)</f>
        <v>7</v>
      </c>
      <c r="I29" s="66">
        <f t="shared" si="59"/>
        <v>24</v>
      </c>
      <c r="J29" s="67">
        <f t="shared" si="60"/>
        <v>598.38709677419354</v>
      </c>
      <c r="K29" s="192">
        <f>VLOOKUP(B29,'Salary -Dec-2024 (Full)'!$B$6:$AE$383,10,0)</f>
        <v>18550</v>
      </c>
      <c r="L29" s="68">
        <f t="shared" si="61"/>
        <v>11130</v>
      </c>
      <c r="M29" s="68">
        <f t="shared" si="62"/>
        <v>5565</v>
      </c>
      <c r="N29" s="68">
        <f t="shared" si="63"/>
        <v>1113</v>
      </c>
      <c r="O29" s="68">
        <f t="shared" si="64"/>
        <v>742</v>
      </c>
      <c r="P29" s="69"/>
      <c r="Q29" s="70">
        <f t="shared" si="65"/>
        <v>18550</v>
      </c>
      <c r="R29" s="70">
        <f>VLOOKUP(B29,'Salary -Dec-2024 (Full)'!$B$6:$AE$383,17,0)</f>
        <v>14361</v>
      </c>
      <c r="S29" s="192">
        <f>VLOOKUP(B29,'Salary -Dec-2024 (Full)'!$B$6:$AE$383,18,0)</f>
        <v>0</v>
      </c>
      <c r="T29" s="192">
        <f>VLOOKUP(B29,'Salary -Dec-2024 (Full)'!$B$6:$AE$383,19,0)</f>
        <v>0</v>
      </c>
      <c r="U29" s="337">
        <f>VLOOKUP(B29,'Salary -Dec-2024 (Full)'!$B$6:$AE$383,20,0)</f>
        <v>0</v>
      </c>
      <c r="V29" s="71">
        <f t="shared" si="66"/>
        <v>14361</v>
      </c>
      <c r="W29" s="192">
        <f>VLOOKUP(B29,'Salary -Dec-2024 (Full)'!$B$6:$AE$383,22,0)</f>
        <v>0</v>
      </c>
      <c r="X29" s="192">
        <f>VLOOKUP(B29,'Salary -Dec-2024 (Full)'!$B$6:$AE$383,23,0)</f>
        <v>0</v>
      </c>
      <c r="Y29" s="337">
        <f>VLOOKUP(B29,'Salary -Dec-2024 (Full)'!$B$6:$AE$383,24,0)</f>
        <v>557</v>
      </c>
      <c r="Z29" s="192">
        <f>VLOOKUP(B29,'Salary -Dec-2024 (Full)'!$B$6:$AE$383,25,0)</f>
        <v>2000</v>
      </c>
      <c r="AA29" s="192">
        <f>VLOOKUP(B29,'Salary -Dec-2024 (Full)'!$B$6:$AE$383,26,0)</f>
        <v>0</v>
      </c>
      <c r="AB29" s="377">
        <f t="shared" si="67"/>
        <v>2557</v>
      </c>
      <c r="AC29" s="71">
        <f t="shared" si="68"/>
        <v>11804</v>
      </c>
      <c r="AD29" s="346" t="str">
        <f>VLOOKUP(B29,'Salary -Dec-2024 (Full)'!$B$6:$AE$383,29,0)</f>
        <v>Bank</v>
      </c>
      <c r="AE29" s="343" t="str">
        <f>VLOOKUP(B29,'Salary -Dec-2024 (Full)'!$B$6:$AE$2853,30,0)</f>
        <v>204.103.0061753</v>
      </c>
      <c r="AF29" s="383"/>
      <c r="AG29" s="543"/>
      <c r="AH29" s="548"/>
      <c r="AI29" s="548"/>
      <c r="AJ29" s="198"/>
      <c r="AK29" s="320"/>
      <c r="AN29" s="198"/>
    </row>
    <row r="30" spans="1:41" s="61" customFormat="1" ht="24.95" customHeight="1">
      <c r="A30" s="339">
        <v>14</v>
      </c>
      <c r="B30" s="254" t="s">
        <v>650</v>
      </c>
      <c r="C30" s="64" t="str">
        <f>VLOOKUP(B30,'Salary -Dec-2024 (Full)'!$B$8:$AE$331,2,0)</f>
        <v>Md. Kayum Hossain</v>
      </c>
      <c r="D30" s="115" t="str">
        <f>VLOOKUP(B30,'Salary -Dec-2024 (Full)'!$B$8:$AE$331,3,0)</f>
        <v>Sr. Mechanic</v>
      </c>
      <c r="E30" s="65" t="str">
        <f>VLOOKUP(B30,'Salary -Dec-2024 (Full)'!$B$8:$AE$331,4,0)</f>
        <v>Technical</v>
      </c>
      <c r="F30" s="265">
        <f>VLOOKUP(B30,'Salary -Dec-2024 (Full)'!$B$8:$AE$331,5,0)</f>
        <v>45053</v>
      </c>
      <c r="G30" s="66">
        <f>VLOOKUP(B30,'Salary -Dec-2024 (Full)'!$B$8:$AE$331,6,0)</f>
        <v>31</v>
      </c>
      <c r="H30" s="67">
        <f>VLOOKUP(B$7:B$37,Attendance!$B$6:$L$385,11,0)</f>
        <v>0</v>
      </c>
      <c r="I30" s="66">
        <f t="shared" si="59"/>
        <v>31</v>
      </c>
      <c r="J30" s="67">
        <f t="shared" si="60"/>
        <v>790.32258064516134</v>
      </c>
      <c r="K30" s="192">
        <f>VLOOKUP(B30,'Salary -Dec-2024 (Full)'!$B$6:$AE$383,10,0)</f>
        <v>24500</v>
      </c>
      <c r="L30" s="68">
        <f t="shared" si="61"/>
        <v>14700</v>
      </c>
      <c r="M30" s="68">
        <f t="shared" si="62"/>
        <v>7350</v>
      </c>
      <c r="N30" s="68">
        <f t="shared" si="63"/>
        <v>1470</v>
      </c>
      <c r="O30" s="68">
        <f t="shared" si="64"/>
        <v>980</v>
      </c>
      <c r="P30" s="69"/>
      <c r="Q30" s="70">
        <f t="shared" si="65"/>
        <v>24500</v>
      </c>
      <c r="R30" s="70">
        <f>VLOOKUP(B30,'Salary -Dec-2024 (Full)'!$B$6:$AE$383,17,0)</f>
        <v>24500</v>
      </c>
      <c r="S30" s="192">
        <f>VLOOKUP(B30,'Salary -Dec-2024 (Full)'!$B$6:$AE$383,18,0)</f>
        <v>0</v>
      </c>
      <c r="T30" s="192">
        <f>VLOOKUP(B30,'Salary -Dec-2024 (Full)'!$B$6:$AE$383,19,0)</f>
        <v>0</v>
      </c>
      <c r="U30" s="337">
        <f>VLOOKUP(B30,'Salary -Dec-2024 (Full)'!$B$6:$AE$383,20,0)</f>
        <v>0</v>
      </c>
      <c r="V30" s="71">
        <f t="shared" si="66"/>
        <v>24500</v>
      </c>
      <c r="W30" s="192">
        <f>VLOOKUP(B30,'Salary -Dec-2024 (Full)'!$B$6:$AE$383,22,0)</f>
        <v>0</v>
      </c>
      <c r="X30" s="192">
        <f>VLOOKUP(B30,'Salary -Dec-2024 (Full)'!$B$6:$AE$383,23,0)</f>
        <v>0</v>
      </c>
      <c r="Y30" s="337">
        <f>VLOOKUP(B30,'Salary -Dec-2024 (Full)'!$B$6:$AE$383,24,0)</f>
        <v>735</v>
      </c>
      <c r="Z30" s="192">
        <f>VLOOKUP(B30,'Salary -Dec-2024 (Full)'!$B$6:$AE$383,25,0)</f>
        <v>2000</v>
      </c>
      <c r="AA30" s="192">
        <f>VLOOKUP(B30,'Salary -Dec-2024 (Full)'!$B$6:$AE$383,26,0)</f>
        <v>0</v>
      </c>
      <c r="AB30" s="377">
        <f t="shared" si="67"/>
        <v>2735</v>
      </c>
      <c r="AC30" s="71">
        <f t="shared" si="68"/>
        <v>21765</v>
      </c>
      <c r="AD30" s="346" t="str">
        <f>VLOOKUP(B30,'Salary -Dec-2024 (Full)'!$B$6:$AE$383,29,0)</f>
        <v>Bank</v>
      </c>
      <c r="AE30" s="343" t="str">
        <f>VLOOKUP(B30,'Salary -Dec-2024 (Full)'!$B$6:$AE$2853,30,0)</f>
        <v>127.157.0036217</v>
      </c>
      <c r="AF30" s="383"/>
      <c r="AG30" s="543"/>
      <c r="AH30" s="548"/>
      <c r="AI30" s="548"/>
      <c r="AJ30" s="198"/>
      <c r="AK30" s="320"/>
      <c r="AN30" s="198"/>
    </row>
    <row r="31" spans="1:41" s="61" customFormat="1" ht="24.95" customHeight="1">
      <c r="A31" s="253">
        <v>15</v>
      </c>
      <c r="B31" s="254" t="s">
        <v>652</v>
      </c>
      <c r="C31" s="64" t="str">
        <f>VLOOKUP(B31,'Salary -Dec-2024 (Full)'!$B$8:$AE$331,2,0)</f>
        <v>Md. Ali Hossain</v>
      </c>
      <c r="D31" s="115" t="str">
        <f>VLOOKUP(B31,'Salary -Dec-2024 (Full)'!$B$8:$AE$331,3,0)</f>
        <v>Jr. Mechanic</v>
      </c>
      <c r="E31" s="65" t="str">
        <f>VLOOKUP(B31,'Salary -Dec-2024 (Full)'!$B$8:$AE$331,4,0)</f>
        <v>Technical</v>
      </c>
      <c r="F31" s="265">
        <f>VLOOKUP(B31,'Salary -Dec-2024 (Full)'!$B$8:$AE$331,5,0)</f>
        <v>45048</v>
      </c>
      <c r="G31" s="66">
        <f>VLOOKUP(B31,'Salary -Dec-2024 (Full)'!$B$8:$AE$331,6,0)</f>
        <v>31</v>
      </c>
      <c r="H31" s="67">
        <f>VLOOKUP(B$7:B$37,Attendance!$B$6:$L$385,11,0)</f>
        <v>0</v>
      </c>
      <c r="I31" s="66">
        <f t="shared" si="59"/>
        <v>31</v>
      </c>
      <c r="J31" s="67">
        <f t="shared" si="60"/>
        <v>522.58064516129036</v>
      </c>
      <c r="K31" s="192">
        <f>VLOOKUP(B31,'Salary -Dec-2024 (Full)'!$B$6:$AE$383,10,0)</f>
        <v>16200</v>
      </c>
      <c r="L31" s="68">
        <f t="shared" si="61"/>
        <v>9720</v>
      </c>
      <c r="M31" s="68">
        <f t="shared" si="62"/>
        <v>4860</v>
      </c>
      <c r="N31" s="68">
        <f t="shared" si="63"/>
        <v>972</v>
      </c>
      <c r="O31" s="68">
        <f t="shared" si="64"/>
        <v>648</v>
      </c>
      <c r="P31" s="69"/>
      <c r="Q31" s="70">
        <f t="shared" si="65"/>
        <v>16200</v>
      </c>
      <c r="R31" s="70">
        <f>VLOOKUP(B31,'Salary -Dec-2024 (Full)'!$B$6:$AE$383,17,0)</f>
        <v>16200</v>
      </c>
      <c r="S31" s="192">
        <f>VLOOKUP(B31,'Salary -Dec-2024 (Full)'!$B$6:$AE$383,18,0)</f>
        <v>0</v>
      </c>
      <c r="T31" s="192">
        <f>VLOOKUP(B31,'Salary -Dec-2024 (Full)'!$B$6:$AE$383,19,0)</f>
        <v>0</v>
      </c>
      <c r="U31" s="337">
        <f>VLOOKUP(B31,'Salary -Dec-2024 (Full)'!$B$6:$AE$383,20,0)</f>
        <v>0</v>
      </c>
      <c r="V31" s="71">
        <f t="shared" si="66"/>
        <v>16200</v>
      </c>
      <c r="W31" s="192">
        <f>VLOOKUP(B31,'Salary -Dec-2024 (Full)'!$B$6:$AE$383,22,0)</f>
        <v>0</v>
      </c>
      <c r="X31" s="192">
        <f>VLOOKUP(B31,'Salary -Dec-2024 (Full)'!$B$6:$AE$383,23,0)</f>
        <v>0</v>
      </c>
      <c r="Y31" s="337">
        <f>VLOOKUP(B31,'Salary -Dec-2024 (Full)'!$B$6:$AE$383,24,0)</f>
        <v>486</v>
      </c>
      <c r="Z31" s="192">
        <f>VLOOKUP(B31,'Salary -Dec-2024 (Full)'!$B$6:$AE$383,25,0)</f>
        <v>0</v>
      </c>
      <c r="AA31" s="192">
        <f>VLOOKUP(B31,'Salary -Dec-2024 (Full)'!$B$6:$AE$383,26,0)</f>
        <v>0</v>
      </c>
      <c r="AB31" s="377">
        <f t="shared" si="67"/>
        <v>486</v>
      </c>
      <c r="AC31" s="71">
        <f t="shared" si="68"/>
        <v>15714</v>
      </c>
      <c r="AD31" s="346" t="str">
        <f>VLOOKUP(B31,'Salary -Dec-2024 (Full)'!$B$6:$AE$383,29,0)</f>
        <v>Bank</v>
      </c>
      <c r="AE31" s="343" t="str">
        <f>VLOOKUP(B31,'Salary -Dec-2024 (Full)'!$B$6:$AE$2853,30,0)</f>
        <v>226.158.0010621</v>
      </c>
      <c r="AF31" s="383"/>
      <c r="AG31" s="543"/>
      <c r="AH31" s="548"/>
      <c r="AI31" s="548"/>
      <c r="AJ31" s="198"/>
      <c r="AK31" s="320"/>
      <c r="AN31" s="198"/>
    </row>
    <row r="32" spans="1:41" s="61" customFormat="1" ht="24.95" customHeight="1">
      <c r="A32" s="339">
        <v>16</v>
      </c>
      <c r="B32" s="254" t="s">
        <v>860</v>
      </c>
      <c r="C32" s="64" t="str">
        <f>VLOOKUP(B32,'Salary -Dec-2024 (Full)'!$B$8:$AE$331,2,0)</f>
        <v>Md Rashidul Islam</v>
      </c>
      <c r="D32" s="115" t="str">
        <f>VLOOKUP(B32,'Salary -Dec-2024 (Full)'!$B$8:$AE$331,3,0)</f>
        <v>Mechanic</v>
      </c>
      <c r="E32" s="65" t="str">
        <f>VLOOKUP(B32,'Salary -Dec-2024 (Full)'!$B$8:$AE$331,4,0)</f>
        <v>Technical</v>
      </c>
      <c r="F32" s="265">
        <f>VLOOKUP(B32,'Salary -Dec-2024 (Full)'!$B$8:$AE$331,5,0)</f>
        <v>45150</v>
      </c>
      <c r="G32" s="66">
        <f>VLOOKUP(B32,'Salary -Dec-2024 (Full)'!$B$8:$AE$331,6,0)</f>
        <v>31</v>
      </c>
      <c r="H32" s="67">
        <f>VLOOKUP(B$7:B$37,Attendance!$B$6:$L$385,11,0)</f>
        <v>0</v>
      </c>
      <c r="I32" s="66">
        <f t="shared" si="59"/>
        <v>31</v>
      </c>
      <c r="J32" s="67">
        <f t="shared" si="60"/>
        <v>564.51612903225805</v>
      </c>
      <c r="K32" s="192">
        <f>VLOOKUP(B32,'Salary -Dec-2024 (Full)'!$B$6:$AE$383,10,0)</f>
        <v>17500</v>
      </c>
      <c r="L32" s="68">
        <f t="shared" si="61"/>
        <v>10500</v>
      </c>
      <c r="M32" s="68">
        <f t="shared" si="62"/>
        <v>5250</v>
      </c>
      <c r="N32" s="68">
        <f t="shared" si="63"/>
        <v>1050</v>
      </c>
      <c r="O32" s="68">
        <f t="shared" si="64"/>
        <v>700</v>
      </c>
      <c r="P32" s="69"/>
      <c r="Q32" s="70">
        <f t="shared" si="65"/>
        <v>17500</v>
      </c>
      <c r="R32" s="70">
        <f>VLOOKUP(B32,'Salary -Dec-2024 (Full)'!$B$6:$AE$383,17,0)</f>
        <v>17500</v>
      </c>
      <c r="S32" s="192">
        <f>VLOOKUP(B32,'Salary -Dec-2024 (Full)'!$B$6:$AE$383,18,0)</f>
        <v>0</v>
      </c>
      <c r="T32" s="192">
        <f>VLOOKUP(B32,'Salary -Dec-2024 (Full)'!$B$6:$AE$383,19,0)</f>
        <v>0</v>
      </c>
      <c r="U32" s="337">
        <f>VLOOKUP(B32,'Salary -Dec-2024 (Full)'!$B$6:$AE$383,20,0)</f>
        <v>0</v>
      </c>
      <c r="V32" s="71">
        <f t="shared" si="66"/>
        <v>17500</v>
      </c>
      <c r="W32" s="192">
        <f>VLOOKUP(B32,'Salary -Dec-2024 (Full)'!$B$6:$AE$383,22,0)</f>
        <v>0</v>
      </c>
      <c r="X32" s="192">
        <f>VLOOKUP(B32,'Salary -Dec-2024 (Full)'!$B$6:$AE$383,23,0)</f>
        <v>0</v>
      </c>
      <c r="Y32" s="337">
        <f>VLOOKUP(B32,'Salary -Dec-2024 (Full)'!$B$6:$AE$383,24,0)</f>
        <v>525</v>
      </c>
      <c r="Z32" s="192">
        <f>VLOOKUP(B32,'Salary -Dec-2024 (Full)'!$B$6:$AE$383,25,0)</f>
        <v>2000</v>
      </c>
      <c r="AA32" s="192">
        <f>VLOOKUP(B32,'Salary -Dec-2024 (Full)'!$B$6:$AE$383,26,0)</f>
        <v>0</v>
      </c>
      <c r="AB32" s="377">
        <f t="shared" si="67"/>
        <v>2525</v>
      </c>
      <c r="AC32" s="71">
        <f t="shared" si="68"/>
        <v>14975</v>
      </c>
      <c r="AD32" s="346" t="str">
        <f>VLOOKUP(B32,'Salary -Dec-2024 (Full)'!$B$6:$AE$383,29,0)</f>
        <v>Bank</v>
      </c>
      <c r="AE32" s="343" t="str">
        <f>VLOOKUP(B32,'Salary -Dec-2024 (Full)'!$B$6:$AE$2853,30,0)</f>
        <v>156.105.0299137</v>
      </c>
      <c r="AF32" s="383"/>
      <c r="AG32" s="543"/>
      <c r="AH32" s="548"/>
      <c r="AI32" s="548"/>
      <c r="AJ32" s="198"/>
      <c r="AK32" s="320"/>
      <c r="AN32" s="198"/>
    </row>
    <row r="33" spans="1:40" s="61" customFormat="1" ht="24.95" customHeight="1">
      <c r="A33" s="253">
        <v>17</v>
      </c>
      <c r="B33" s="254" t="s">
        <v>1321</v>
      </c>
      <c r="C33" s="64" t="str">
        <f>VLOOKUP(B33,'Salary -Dec-2024 (Full)'!$B$8:$AE$331,2,0)</f>
        <v>Shahinur Zaman</v>
      </c>
      <c r="D33" s="115" t="str">
        <f>VLOOKUP(B33,'Salary -Dec-2024 (Full)'!$B$8:$AE$331,3,0)</f>
        <v>Junior Mechanic</v>
      </c>
      <c r="E33" s="65" t="str">
        <f>VLOOKUP(B33,'Salary -Dec-2024 (Full)'!$B$8:$AE$331,4,0)</f>
        <v>Technical</v>
      </c>
      <c r="F33" s="265">
        <f>VLOOKUP(B33,'Salary -Dec-2024 (Full)'!$B$8:$AE$331,5,0)</f>
        <v>45384</v>
      </c>
      <c r="G33" s="66">
        <f>VLOOKUP(B33,'Salary -Dec-2024 (Full)'!$B$8:$AE$331,6,0)</f>
        <v>31</v>
      </c>
      <c r="H33" s="67">
        <f>VLOOKUP(B$7:B$37,Attendance!$B$6:$L$385,11,0)</f>
        <v>0</v>
      </c>
      <c r="I33" s="66">
        <f t="shared" si="59"/>
        <v>31</v>
      </c>
      <c r="J33" s="67">
        <f t="shared" si="60"/>
        <v>451.61290322580646</v>
      </c>
      <c r="K33" s="192">
        <f>VLOOKUP(B33,'Salary -Dec-2024 (Full)'!$B$6:$AE$383,10,0)</f>
        <v>14000</v>
      </c>
      <c r="L33" s="68">
        <f t="shared" si="61"/>
        <v>8400</v>
      </c>
      <c r="M33" s="68">
        <f t="shared" si="62"/>
        <v>4200</v>
      </c>
      <c r="N33" s="68">
        <f t="shared" si="63"/>
        <v>840</v>
      </c>
      <c r="O33" s="68">
        <f t="shared" si="64"/>
        <v>560</v>
      </c>
      <c r="P33" s="69"/>
      <c r="Q33" s="70">
        <f t="shared" si="65"/>
        <v>14000</v>
      </c>
      <c r="R33" s="70">
        <f>VLOOKUP(B33,'Salary -Dec-2024 (Full)'!$B$6:$AE$383,17,0)</f>
        <v>14000</v>
      </c>
      <c r="S33" s="192">
        <f>VLOOKUP(B33,'Salary -Dec-2024 (Full)'!$B$6:$AE$383,18,0)</f>
        <v>0</v>
      </c>
      <c r="T33" s="192">
        <f>VLOOKUP(B33,'Salary -Dec-2024 (Full)'!$B$6:$AE$383,19,0)</f>
        <v>0</v>
      </c>
      <c r="U33" s="337">
        <f>VLOOKUP(B33,'Salary -Dec-2024 (Full)'!$B$6:$AE$383,20,0)</f>
        <v>0</v>
      </c>
      <c r="V33" s="71">
        <f t="shared" si="66"/>
        <v>14000</v>
      </c>
      <c r="W33" s="192">
        <f>VLOOKUP(B33,'Salary -Dec-2024 (Full)'!$B$6:$AE$383,22,0)</f>
        <v>0</v>
      </c>
      <c r="X33" s="192">
        <f>VLOOKUP(B33,'Salary -Dec-2024 (Full)'!$B$6:$AE$383,23,0)</f>
        <v>0</v>
      </c>
      <c r="Y33" s="337">
        <f>VLOOKUP(B33,'Salary -Dec-2024 (Full)'!$B$6:$AE$383,24,0)</f>
        <v>0</v>
      </c>
      <c r="Z33" s="192">
        <f>VLOOKUP(B33,'Salary -Dec-2024 (Full)'!$B$6:$AE$383,25,0)</f>
        <v>0</v>
      </c>
      <c r="AA33" s="192">
        <f>VLOOKUP(B33,'Salary -Dec-2024 (Full)'!$B$6:$AE$383,26,0)</f>
        <v>0</v>
      </c>
      <c r="AB33" s="377">
        <f t="shared" si="67"/>
        <v>0</v>
      </c>
      <c r="AC33" s="71">
        <f t="shared" si="68"/>
        <v>14000</v>
      </c>
      <c r="AD33" s="346" t="str">
        <f>VLOOKUP(B33,'Salary -Dec-2024 (Full)'!$B$6:$AE$383,29,0)</f>
        <v>Bank</v>
      </c>
      <c r="AE33" s="343" t="str">
        <f>VLOOKUP(B33,'Salary -Dec-2024 (Full)'!$B$6:$AE$2853,30,0)</f>
        <v>116.103.0906673</v>
      </c>
      <c r="AF33" s="383"/>
      <c r="AG33" s="543"/>
      <c r="AH33" s="548"/>
      <c r="AI33" s="548"/>
      <c r="AJ33" s="198"/>
      <c r="AK33" s="320"/>
      <c r="AN33" s="198"/>
    </row>
    <row r="34" spans="1:40" s="61" customFormat="1" ht="22.5" customHeight="1">
      <c r="A34" s="339">
        <v>18</v>
      </c>
      <c r="B34" s="254" t="s">
        <v>1245</v>
      </c>
      <c r="C34" s="64" t="str">
        <f>VLOOKUP(B34,'Salary -Dec-2024 (Full)'!$B$8:$AE$331,2,0)</f>
        <v>Md Imran</v>
      </c>
      <c r="D34" s="115" t="str">
        <f>VLOOKUP(B34,'Salary -Dec-2024 (Full)'!$B$8:$AE$331,3,0)</f>
        <v>Service Engineer</v>
      </c>
      <c r="E34" s="65" t="str">
        <f>VLOOKUP(B34,'Salary -Dec-2024 (Full)'!$B$8:$AE$331,4,0)</f>
        <v>Technical</v>
      </c>
      <c r="F34" s="265">
        <f>VLOOKUP(B34,'Salary -Dec-2024 (Full)'!$B$8:$AE$331,5,0)</f>
        <v>45378</v>
      </c>
      <c r="G34" s="66">
        <f>VLOOKUP(B34,'Salary -Dec-2024 (Full)'!$B$8:$AE$331,6,0)</f>
        <v>31</v>
      </c>
      <c r="H34" s="67">
        <f>VLOOKUP(B$7:B$37,Attendance!$B$6:$L$385,11,0)</f>
        <v>0</v>
      </c>
      <c r="I34" s="66">
        <f t="shared" si="59"/>
        <v>31</v>
      </c>
      <c r="J34" s="67">
        <f t="shared" si="60"/>
        <v>1129.0322580645161</v>
      </c>
      <c r="K34" s="192">
        <f>VLOOKUP(B34,'Salary -Dec-2024 (Full)'!$B$6:$AE$383,10,0)</f>
        <v>35000</v>
      </c>
      <c r="L34" s="68">
        <f t="shared" si="61"/>
        <v>21000</v>
      </c>
      <c r="M34" s="68">
        <f t="shared" si="62"/>
        <v>10500</v>
      </c>
      <c r="N34" s="68">
        <f t="shared" si="63"/>
        <v>2100</v>
      </c>
      <c r="O34" s="68">
        <f t="shared" si="64"/>
        <v>1400</v>
      </c>
      <c r="P34" s="69"/>
      <c r="Q34" s="70">
        <f t="shared" si="65"/>
        <v>35000</v>
      </c>
      <c r="R34" s="70">
        <f>VLOOKUP(B34,'Salary -Dec-2024 (Full)'!$B$6:$AE$383,17,0)</f>
        <v>35000</v>
      </c>
      <c r="S34" s="192">
        <f>VLOOKUP(B34,'Salary -Dec-2024 (Full)'!$B$6:$AE$383,18,0)</f>
        <v>0</v>
      </c>
      <c r="T34" s="192">
        <f>VLOOKUP(B34,'Salary -Dec-2024 (Full)'!$B$6:$AE$383,19,0)</f>
        <v>0</v>
      </c>
      <c r="U34" s="337">
        <f>VLOOKUP(B34,'Salary -Dec-2024 (Full)'!$B$6:$AE$383,20,0)</f>
        <v>0</v>
      </c>
      <c r="V34" s="71">
        <f t="shared" si="66"/>
        <v>35000</v>
      </c>
      <c r="W34" s="192">
        <f>VLOOKUP(B34,'Salary -Dec-2024 (Full)'!$B$6:$AE$383,22,0)</f>
        <v>0</v>
      </c>
      <c r="X34" s="192">
        <f>VLOOKUP(B34,'Salary -Dec-2024 (Full)'!$B$6:$AE$383,23,0)</f>
        <v>0</v>
      </c>
      <c r="Y34" s="337">
        <f>VLOOKUP(B34,'Salary -Dec-2024 (Full)'!$B$6:$AE$383,24,0)</f>
        <v>0</v>
      </c>
      <c r="Z34" s="192">
        <f>VLOOKUP(B34,'Salary -Dec-2024 (Full)'!$B$6:$AE$383,25,0)</f>
        <v>0</v>
      </c>
      <c r="AA34" s="192">
        <f>VLOOKUP(B34,'Salary -Dec-2024 (Full)'!$B$6:$AE$383,26,0)</f>
        <v>0</v>
      </c>
      <c r="AB34" s="377">
        <f t="shared" si="67"/>
        <v>0</v>
      </c>
      <c r="AC34" s="71">
        <f t="shared" si="68"/>
        <v>35000</v>
      </c>
      <c r="AD34" s="346" t="str">
        <f>VLOOKUP(B34,'Salary -Dec-2024 (Full)'!$B$6:$AE$383,29,0)</f>
        <v>Bank</v>
      </c>
      <c r="AE34" s="343" t="str">
        <f>VLOOKUP(B34,'Salary -Dec-2024 (Full)'!$B$6:$AE$2853,30,0)</f>
        <v>127.105.0042964</v>
      </c>
      <c r="AF34" s="383"/>
      <c r="AG34" s="543"/>
      <c r="AH34" s="548"/>
      <c r="AI34" s="548"/>
      <c r="AJ34" s="198"/>
      <c r="AK34" s="320"/>
      <c r="AN34" s="198"/>
    </row>
    <row r="35" spans="1:40" s="61" customFormat="1" ht="24.75" customHeight="1">
      <c r="A35" s="253">
        <v>19</v>
      </c>
      <c r="B35" s="518" t="s">
        <v>1668</v>
      </c>
      <c r="C35" s="77" t="str">
        <f>VLOOKUP(B35,'Salary -Dec-2024 (Full)'!$B$8:$AE$331,2,0)</f>
        <v>Md Asadul Islam Mridha</v>
      </c>
      <c r="D35" s="280" t="str">
        <f>VLOOKUP(B35,'Salary -Dec-2024 (Full)'!$B$8:$AE$331,3,0)</f>
        <v>Sr. Service Engineer</v>
      </c>
      <c r="E35" s="78" t="str">
        <f>VLOOKUP(B35,'Salary -Dec-2024 (Full)'!$B$8:$AE$331,4,0)</f>
        <v>Technical</v>
      </c>
      <c r="F35" s="488">
        <f>VLOOKUP(B35,'Salary -Dec-2024 (Full)'!$B$8:$AE$331,5,0)</f>
        <v>45573</v>
      </c>
      <c r="G35" s="79">
        <f>VLOOKUP(B35,'Salary -Dec-2024 (Full)'!$B$8:$AE$331,6,0)</f>
        <v>31</v>
      </c>
      <c r="H35" s="80">
        <f>VLOOKUP(B$7:B$37,Attendance!$B$6:$L$385,11,0)</f>
        <v>0</v>
      </c>
      <c r="I35" s="79">
        <f t="shared" ref="I35" si="69">G35-H35</f>
        <v>31</v>
      </c>
      <c r="J35" s="80">
        <f t="shared" ref="J35" si="70">Q35/G35</f>
        <v>1064.516129032258</v>
      </c>
      <c r="K35" s="395">
        <f>VLOOKUP(B35,'Salary -Dec-2024 (Full)'!$B$6:$AE$383,10,0)</f>
        <v>33000</v>
      </c>
      <c r="L35" s="81">
        <f t="shared" ref="L35" si="71">K35*60%</f>
        <v>19800</v>
      </c>
      <c r="M35" s="81">
        <f t="shared" ref="M35" si="72">K35*30%</f>
        <v>9900</v>
      </c>
      <c r="N35" s="81">
        <f t="shared" ref="N35" si="73">K35*6%</f>
        <v>1980</v>
      </c>
      <c r="O35" s="81">
        <f t="shared" ref="O35" si="74">K35*4%</f>
        <v>1320</v>
      </c>
      <c r="P35" s="82"/>
      <c r="Q35" s="83">
        <f t="shared" ref="Q35" si="75">SUM(L35:P35)</f>
        <v>33000</v>
      </c>
      <c r="R35" s="83">
        <f>VLOOKUP(B35,'Salary -Dec-2024 (Full)'!$B$6:$AE$383,17,0)</f>
        <v>33000</v>
      </c>
      <c r="S35" s="395">
        <f>VLOOKUP(B35,'Salary -Dec-2024 (Full)'!$B$6:$AE$383,18,0)</f>
        <v>0</v>
      </c>
      <c r="T35" s="395">
        <f>VLOOKUP(B35,'Salary -Dec-2024 (Full)'!$B$6:$AE$383,19,0)</f>
        <v>0</v>
      </c>
      <c r="U35" s="396">
        <f>VLOOKUP(B35,'Salary -Dec-2024 (Full)'!$B$6:$AE$383,20,0)</f>
        <v>0</v>
      </c>
      <c r="V35" s="84">
        <f t="shared" ref="V35" si="76">SUM(R35:U35)</f>
        <v>33000</v>
      </c>
      <c r="W35" s="395">
        <f>VLOOKUP(B35,'Salary -Dec-2024 (Full)'!$B$6:$AE$383,22,0)</f>
        <v>0</v>
      </c>
      <c r="X35" s="395">
        <f>VLOOKUP(B35,'Salary -Dec-2024 (Full)'!$B$6:$AE$383,23,0)</f>
        <v>0</v>
      </c>
      <c r="Y35" s="396">
        <f>VLOOKUP(B35,'Salary -Dec-2024 (Full)'!$B$6:$AE$383,24,0)</f>
        <v>0</v>
      </c>
      <c r="Z35" s="395">
        <f>VLOOKUP(B35,'Salary -Dec-2024 (Full)'!$B$6:$AE$383,25,0)</f>
        <v>0</v>
      </c>
      <c r="AA35" s="395">
        <f>VLOOKUP(B35,'Salary -Dec-2024 (Full)'!$B$6:$AE$383,26,0)</f>
        <v>0</v>
      </c>
      <c r="AB35" s="768">
        <f t="shared" ref="AB35" si="77">SUM(W35:AA35)</f>
        <v>0</v>
      </c>
      <c r="AC35" s="84">
        <f t="shared" ref="AC35" si="78">ROUND(V35-AB35,0)</f>
        <v>33000</v>
      </c>
      <c r="AD35" s="589" t="str">
        <f>VLOOKUP(B35,'Salary -Dec-2024 (Full)'!$B$6:$AE$383,29,0)</f>
        <v>Bank</v>
      </c>
      <c r="AE35" s="846" t="str">
        <f>VLOOKUP(B35,'Salary -Dec-2024 (Full)'!$B$6:$AE$2853,30,0)</f>
        <v>281.103.0181227</v>
      </c>
      <c r="AF35" s="383"/>
      <c r="AG35" s="543"/>
      <c r="AH35" s="548"/>
      <c r="AI35" s="548"/>
      <c r="AJ35" s="198"/>
      <c r="AK35" s="320"/>
      <c r="AN35" s="198"/>
    </row>
    <row r="36" spans="1:40" s="61" customFormat="1" ht="20.25" customHeight="1">
      <c r="A36" s="1031" t="s">
        <v>67</v>
      </c>
      <c r="B36" s="1032"/>
      <c r="C36" s="1033"/>
      <c r="D36" s="1034"/>
      <c r="E36" s="1034"/>
      <c r="F36" s="1035"/>
      <c r="G36" s="1040"/>
      <c r="H36" s="1040"/>
      <c r="I36" s="1040"/>
      <c r="J36" s="1040"/>
      <c r="K36" s="1037">
        <f t="shared" ref="K36:AC36" si="79">SUM(K17:K35)</f>
        <v>590930</v>
      </c>
      <c r="L36" s="1037">
        <f t="shared" si="79"/>
        <v>354558</v>
      </c>
      <c r="M36" s="1037">
        <f t="shared" si="79"/>
        <v>177279</v>
      </c>
      <c r="N36" s="1037">
        <f t="shared" si="79"/>
        <v>35455.800000000003</v>
      </c>
      <c r="O36" s="1037">
        <f t="shared" si="79"/>
        <v>23637.200000000001</v>
      </c>
      <c r="P36" s="1037">
        <f t="shared" si="79"/>
        <v>0</v>
      </c>
      <c r="Q36" s="1037">
        <f t="shared" si="79"/>
        <v>590930</v>
      </c>
      <c r="R36" s="1037">
        <f t="shared" si="79"/>
        <v>586741</v>
      </c>
      <c r="S36" s="1037">
        <f t="shared" si="79"/>
        <v>0</v>
      </c>
      <c r="T36" s="1037">
        <f t="shared" si="79"/>
        <v>0</v>
      </c>
      <c r="U36" s="1037">
        <f t="shared" si="79"/>
        <v>0</v>
      </c>
      <c r="V36" s="1037">
        <f t="shared" si="79"/>
        <v>586741</v>
      </c>
      <c r="W36" s="1037">
        <f t="shared" si="79"/>
        <v>4337.2857142857138</v>
      </c>
      <c r="X36" s="1037">
        <f t="shared" si="79"/>
        <v>2550</v>
      </c>
      <c r="Y36" s="1037">
        <f t="shared" si="79"/>
        <v>14430</v>
      </c>
      <c r="Z36" s="1037">
        <f t="shared" si="79"/>
        <v>16611</v>
      </c>
      <c r="AA36" s="1037">
        <f t="shared" si="79"/>
        <v>0</v>
      </c>
      <c r="AB36" s="1037">
        <f t="shared" si="79"/>
        <v>37928.28571428571</v>
      </c>
      <c r="AC36" s="1037">
        <f t="shared" si="79"/>
        <v>548813</v>
      </c>
      <c r="AD36" s="1037"/>
      <c r="AE36" s="1039"/>
      <c r="AF36" s="383"/>
      <c r="AG36" s="543"/>
      <c r="AH36" s="548"/>
      <c r="AI36" s="549"/>
      <c r="AJ36" s="198"/>
      <c r="AK36" s="320"/>
      <c r="AN36" s="198"/>
    </row>
    <row r="37" spans="1:40" s="47" customFormat="1" ht="8.25" customHeight="1">
      <c r="A37" s="201"/>
      <c r="B37" s="202"/>
      <c r="C37" s="203"/>
      <c r="D37" s="204"/>
      <c r="E37" s="205"/>
      <c r="F37" s="206"/>
      <c r="G37" s="208"/>
      <c r="H37" s="207"/>
      <c r="I37" s="208"/>
      <c r="J37" s="207"/>
      <c r="K37" s="274"/>
      <c r="L37" s="274"/>
      <c r="M37" s="274"/>
      <c r="N37" s="274"/>
      <c r="O37" s="274"/>
      <c r="P37" s="39"/>
      <c r="Q37" s="275"/>
      <c r="R37" s="275"/>
      <c r="S37" s="41"/>
      <c r="T37" s="41"/>
      <c r="U37" s="42"/>
      <c r="V37" s="276"/>
      <c r="W37" s="274"/>
      <c r="X37" s="44"/>
      <c r="Y37" s="41"/>
      <c r="Z37" s="41"/>
      <c r="AA37" s="41"/>
      <c r="AB37" s="45"/>
      <c r="AC37" s="45"/>
      <c r="AD37" s="277"/>
      <c r="AE37" s="35"/>
      <c r="AI37" s="320"/>
    </row>
    <row r="38" spans="1:40" s="30" customFormat="1" ht="21" customHeight="1" thickBot="1">
      <c r="A38" s="1031">
        <f>COUNT(A8:A37)</f>
        <v>24</v>
      </c>
      <c r="B38" s="1032"/>
      <c r="C38" s="1033"/>
      <c r="D38" s="1034"/>
      <c r="E38" s="1040"/>
      <c r="F38" s="1036"/>
      <c r="G38" s="1036"/>
      <c r="H38" s="1036"/>
      <c r="I38" s="1036"/>
      <c r="J38" s="1036"/>
      <c r="K38" s="1058">
        <f t="shared" ref="K38:AC38" si="80">K10+K15+K36</f>
        <v>875930</v>
      </c>
      <c r="L38" s="1058">
        <f t="shared" si="80"/>
        <v>525558</v>
      </c>
      <c r="M38" s="1058">
        <f t="shared" si="80"/>
        <v>262779</v>
      </c>
      <c r="N38" s="1058">
        <f t="shared" si="80"/>
        <v>52555.8</v>
      </c>
      <c r="O38" s="1058">
        <f t="shared" si="80"/>
        <v>35037.199999999997</v>
      </c>
      <c r="P38" s="1058">
        <f t="shared" si="80"/>
        <v>0</v>
      </c>
      <c r="Q38" s="1058">
        <f t="shared" si="80"/>
        <v>875930</v>
      </c>
      <c r="R38" s="1058">
        <f t="shared" si="80"/>
        <v>871741</v>
      </c>
      <c r="S38" s="1058">
        <f t="shared" si="80"/>
        <v>0</v>
      </c>
      <c r="T38" s="1058">
        <f t="shared" si="80"/>
        <v>0</v>
      </c>
      <c r="U38" s="1058">
        <f t="shared" si="80"/>
        <v>0</v>
      </c>
      <c r="V38" s="1058">
        <f t="shared" si="80"/>
        <v>871741</v>
      </c>
      <c r="W38" s="1058">
        <f t="shared" si="80"/>
        <v>15171.285714285714</v>
      </c>
      <c r="X38" s="1058">
        <f t="shared" si="80"/>
        <v>4950</v>
      </c>
      <c r="Y38" s="1058">
        <f t="shared" si="80"/>
        <v>22980</v>
      </c>
      <c r="Z38" s="1058">
        <f t="shared" si="80"/>
        <v>16611</v>
      </c>
      <c r="AA38" s="1058">
        <f t="shared" si="80"/>
        <v>0</v>
      </c>
      <c r="AB38" s="1058">
        <f t="shared" si="80"/>
        <v>59712.28571428571</v>
      </c>
      <c r="AC38" s="1058">
        <f t="shared" si="80"/>
        <v>812029</v>
      </c>
      <c r="AD38" s="1043"/>
      <c r="AE38" s="1097"/>
      <c r="AI38" s="317"/>
    </row>
    <row r="39" spans="1:40" s="142" customFormat="1" ht="9" customHeight="1" thickTop="1">
      <c r="A39" s="132"/>
      <c r="B39" s="133"/>
      <c r="C39" s="134"/>
      <c r="D39" s="135"/>
      <c r="E39" s="136"/>
      <c r="F39" s="137"/>
      <c r="G39" s="138"/>
      <c r="H39" s="138"/>
      <c r="I39" s="139"/>
      <c r="J39" s="139"/>
      <c r="K39" s="139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1"/>
      <c r="AE39" s="136"/>
      <c r="AI39" s="321"/>
    </row>
    <row r="40" spans="1:40" s="130" customFormat="1" ht="20.100000000000001" customHeight="1">
      <c r="A40" s="121"/>
      <c r="B40" s="121"/>
      <c r="C40" s="122"/>
      <c r="D40" s="143"/>
      <c r="E40" s="121"/>
      <c r="F40" s="122"/>
      <c r="G40" s="124"/>
      <c r="H40" s="124"/>
      <c r="I40" s="123"/>
      <c r="J40" s="124"/>
      <c r="K40" s="124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W40" s="14"/>
      <c r="X40" s="127" t="s">
        <v>29</v>
      </c>
      <c r="Y40" s="126"/>
      <c r="Z40" s="125"/>
      <c r="AA40" s="125"/>
      <c r="AB40" s="125"/>
      <c r="AC40" s="127" t="s">
        <v>23</v>
      </c>
      <c r="AD40" s="128" t="s">
        <v>24</v>
      </c>
      <c r="AE40" s="15">
        <f>SUMIF(AD$7:AD$38,AC40,AC$7:AC$38)</f>
        <v>812029</v>
      </c>
      <c r="AI40" s="322"/>
    </row>
    <row r="41" spans="1:40" s="130" customFormat="1" ht="20.100000000000001" customHeight="1">
      <c r="A41" s="121"/>
      <c r="B41" s="121"/>
      <c r="C41" s="122"/>
      <c r="D41" s="143"/>
      <c r="E41" s="121"/>
      <c r="F41" s="122"/>
      <c r="G41" s="124"/>
      <c r="H41" s="124"/>
      <c r="I41" s="123"/>
      <c r="J41" s="124"/>
      <c r="K41" s="124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4"/>
      <c r="W41" s="14"/>
      <c r="X41" s="125"/>
      <c r="Y41" s="126"/>
      <c r="Z41" s="125"/>
      <c r="AA41" s="125"/>
      <c r="AB41" s="125"/>
      <c r="AC41" s="127" t="s">
        <v>25</v>
      </c>
      <c r="AD41" s="128" t="s">
        <v>24</v>
      </c>
      <c r="AE41" s="15">
        <f>SUMIF(AD$7:AD$38,AC41,AC$7:AC$38)</f>
        <v>0</v>
      </c>
      <c r="AI41" s="322"/>
    </row>
    <row r="42" spans="1:40" s="130" customFormat="1" ht="20.100000000000001" customHeight="1" thickBot="1">
      <c r="A42" s="121"/>
      <c r="B42" s="121"/>
      <c r="C42" s="122"/>
      <c r="D42" s="143"/>
      <c r="E42" s="121"/>
      <c r="F42" s="122"/>
      <c r="G42" s="124"/>
      <c r="H42" s="124"/>
      <c r="I42" s="123"/>
      <c r="J42" s="124"/>
      <c r="K42" s="124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4"/>
      <c r="W42" s="14"/>
      <c r="X42" s="125"/>
      <c r="Y42" s="126"/>
      <c r="Z42" s="125"/>
      <c r="AA42" s="125"/>
      <c r="AB42" s="125"/>
      <c r="AC42" s="127"/>
      <c r="AD42" s="128"/>
      <c r="AE42" s="144">
        <f>SUM(AE40:AE41)</f>
        <v>812029</v>
      </c>
      <c r="AI42" s="322"/>
    </row>
    <row r="43" spans="1:40" s="130" customFormat="1" ht="20.100000000000001" customHeight="1" thickTop="1">
      <c r="A43" s="121"/>
      <c r="B43" s="121"/>
      <c r="C43" s="122"/>
      <c r="D43" s="143"/>
      <c r="E43" s="121"/>
      <c r="F43" s="122"/>
      <c r="G43" s="124"/>
      <c r="H43" s="124"/>
      <c r="I43" s="123"/>
      <c r="J43" s="124"/>
      <c r="K43" s="124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4"/>
      <c r="W43" s="14"/>
      <c r="X43" s="125"/>
      <c r="Y43" s="126"/>
      <c r="Z43" s="125"/>
      <c r="AA43" s="125"/>
      <c r="AB43" s="125"/>
      <c r="AC43" s="127"/>
      <c r="AD43" s="128"/>
      <c r="AE43" s="129"/>
      <c r="AI43" s="322"/>
    </row>
    <row r="44" spans="1:40" s="130" customFormat="1" ht="19.5" customHeight="1">
      <c r="A44" s="121"/>
      <c r="B44" s="121"/>
      <c r="C44" s="122"/>
      <c r="D44" s="143"/>
      <c r="E44" s="121"/>
      <c r="F44" s="122"/>
      <c r="G44" s="124"/>
      <c r="H44" s="124"/>
      <c r="I44" s="123"/>
      <c r="J44" s="124"/>
      <c r="K44" s="124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4"/>
      <c r="W44" s="14"/>
      <c r="X44" s="14"/>
      <c r="Y44" s="14"/>
      <c r="Z44" s="13"/>
      <c r="AA44" s="13"/>
      <c r="AB44" s="12"/>
      <c r="AC44" s="12"/>
      <c r="AE44" s="129"/>
      <c r="AI44" s="322"/>
    </row>
    <row r="45" spans="1:40" s="130" customFormat="1" ht="15">
      <c r="A45" s="121"/>
      <c r="B45" s="121"/>
      <c r="C45" s="122"/>
      <c r="D45" s="143"/>
      <c r="E45" s="121"/>
      <c r="F45" s="122"/>
      <c r="G45" s="124"/>
      <c r="H45" s="124"/>
      <c r="I45" s="123"/>
      <c r="J45" s="124"/>
      <c r="K45" s="124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45"/>
      <c r="AE45" s="145"/>
      <c r="AI45" s="322"/>
    </row>
    <row r="46" spans="1:40" s="130" customFormat="1" ht="19.5" customHeight="1">
      <c r="A46" s="121"/>
      <c r="B46" s="121"/>
      <c r="C46" s="122"/>
      <c r="D46" s="143"/>
      <c r="E46" s="121"/>
      <c r="F46" s="122"/>
      <c r="G46" s="124"/>
      <c r="H46" s="124"/>
      <c r="I46" s="123"/>
      <c r="J46" s="124"/>
      <c r="K46" s="124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45"/>
      <c r="AE46" s="145"/>
      <c r="AI46" s="322"/>
    </row>
    <row r="47" spans="1:40" s="130" customFormat="1" ht="19.5" customHeight="1">
      <c r="A47" s="121"/>
      <c r="B47" s="121"/>
      <c r="C47" s="122"/>
      <c r="D47" s="143"/>
      <c r="E47" s="121"/>
      <c r="F47" s="122"/>
      <c r="G47" s="124"/>
      <c r="H47" s="124"/>
      <c r="I47" s="123"/>
      <c r="J47" s="124"/>
      <c r="K47" s="124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45"/>
      <c r="AE47" s="145"/>
      <c r="AI47" s="322"/>
    </row>
    <row r="48" spans="1:40" s="130" customFormat="1" ht="19.5" customHeight="1">
      <c r="A48" s="121"/>
      <c r="B48" s="121"/>
      <c r="C48" s="122"/>
      <c r="D48" s="143"/>
      <c r="E48" s="121"/>
      <c r="F48" s="122"/>
      <c r="G48" s="124"/>
      <c r="H48" s="124"/>
      <c r="I48" s="123"/>
      <c r="J48" s="124"/>
      <c r="K48" s="124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X48" s="146"/>
      <c r="Y48" s="123"/>
      <c r="Z48" s="123"/>
      <c r="AA48" s="123"/>
      <c r="AB48" s="123"/>
      <c r="AC48" s="123"/>
      <c r="AD48" s="145"/>
      <c r="AE48" s="123"/>
      <c r="AI48" s="322"/>
    </row>
    <row r="49" spans="1:35" s="17" customFormat="1" ht="16.5">
      <c r="B49" s="18"/>
      <c r="C49" s="18"/>
      <c r="D49" s="147"/>
      <c r="E49" s="148"/>
      <c r="F49" s="18"/>
      <c r="G49" s="18"/>
      <c r="H49" s="248"/>
      <c r="I49" s="18"/>
      <c r="J49" s="18"/>
      <c r="K49" s="18"/>
      <c r="L49" s="18"/>
      <c r="M49" s="18"/>
      <c r="N49" s="18"/>
      <c r="Q49" s="18"/>
      <c r="R49" s="18"/>
      <c r="S49" s="18"/>
      <c r="T49" s="18"/>
      <c r="U49" s="18"/>
      <c r="V49" s="18"/>
      <c r="Z49" s="18"/>
      <c r="AA49" s="18"/>
      <c r="AB49" s="18"/>
      <c r="AC49" s="18"/>
      <c r="AD49" s="18"/>
      <c r="AE49" s="18"/>
      <c r="AI49" s="323"/>
    </row>
    <row r="50" spans="1:35" s="130" customFormat="1" ht="19.5" customHeight="1">
      <c r="A50" s="121"/>
      <c r="B50" s="121"/>
      <c r="C50" s="122"/>
      <c r="D50" s="143"/>
      <c r="E50" s="121"/>
      <c r="F50" s="122"/>
      <c r="G50" s="124"/>
      <c r="H50" s="124"/>
      <c r="I50" s="123"/>
      <c r="J50" s="124"/>
      <c r="K50" s="124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45"/>
      <c r="AE50" s="145"/>
      <c r="AI50" s="322"/>
    </row>
    <row r="51" spans="1:35" s="155" customFormat="1" ht="19.5" customHeight="1">
      <c r="A51" s="149"/>
      <c r="B51" s="149"/>
      <c r="C51" s="150"/>
      <c r="D51" s="151"/>
      <c r="E51" s="149"/>
      <c r="F51" s="150"/>
      <c r="G51" s="152"/>
      <c r="H51" s="152"/>
      <c r="I51" s="153"/>
      <c r="J51" s="152"/>
      <c r="K51" s="152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23"/>
      <c r="X51" s="153"/>
      <c r="Y51" s="153"/>
      <c r="Z51" s="153"/>
      <c r="AA51" s="153"/>
      <c r="AB51" s="153"/>
      <c r="AC51" s="153"/>
      <c r="AD51" s="154"/>
      <c r="AE51" s="154"/>
      <c r="AI51" s="324"/>
    </row>
    <row r="52" spans="1:35" ht="21" customHeight="1">
      <c r="V52" s="164"/>
    </row>
    <row r="53" spans="1:35" s="167" customFormat="1" ht="18">
      <c r="A53" s="166"/>
      <c r="B53" s="166"/>
      <c r="D53" s="168"/>
      <c r="E53" s="166"/>
      <c r="G53" s="169"/>
      <c r="H53" s="170"/>
      <c r="J53" s="170"/>
      <c r="K53" s="170"/>
      <c r="L53" s="171"/>
      <c r="M53" s="171"/>
      <c r="N53" s="171"/>
      <c r="O53" s="171"/>
      <c r="P53" s="171"/>
      <c r="Q53" s="172"/>
      <c r="R53" s="173"/>
      <c r="T53" s="166"/>
      <c r="V53" s="173"/>
      <c r="W53" s="174"/>
      <c r="X53" s="175"/>
      <c r="Y53" s="176"/>
      <c r="Z53" s="166"/>
      <c r="AA53" s="166"/>
      <c r="AB53" s="166"/>
      <c r="AC53" s="166"/>
      <c r="AD53" s="166"/>
      <c r="AE53" s="166"/>
      <c r="AI53" s="326"/>
    </row>
    <row r="54" spans="1:35" s="167" customFormat="1" ht="18">
      <c r="A54" s="166"/>
      <c r="B54" s="166"/>
      <c r="D54" s="168"/>
      <c r="E54" s="166"/>
      <c r="H54" s="170"/>
      <c r="J54" s="169"/>
      <c r="K54" s="169"/>
      <c r="L54" s="171"/>
      <c r="M54" s="172"/>
      <c r="O54" s="171"/>
      <c r="R54" s="173"/>
      <c r="T54" s="166"/>
      <c r="V54" s="173"/>
      <c r="W54" s="174"/>
      <c r="Z54" s="166"/>
      <c r="AA54" s="166"/>
      <c r="AB54" s="166"/>
      <c r="AC54" s="166"/>
      <c r="AD54" s="166"/>
      <c r="AE54" s="166"/>
      <c r="AI54" s="326"/>
    </row>
    <row r="55" spans="1:35" s="167" customFormat="1" ht="18">
      <c r="D55" s="168"/>
      <c r="E55" s="166"/>
      <c r="H55" s="170"/>
      <c r="J55" s="170"/>
      <c r="K55" s="170"/>
      <c r="R55" s="166"/>
      <c r="S55" s="177"/>
      <c r="T55" s="178"/>
      <c r="V55" s="173"/>
      <c r="W55" s="174"/>
      <c r="AD55" s="166"/>
      <c r="AE55" s="166"/>
      <c r="AI55" s="326"/>
    </row>
    <row r="56" spans="1:35" s="167" customFormat="1" ht="18">
      <c r="D56" s="168"/>
      <c r="E56" s="166"/>
      <c r="F56" s="179"/>
      <c r="H56" s="170"/>
      <c r="J56" s="170"/>
      <c r="K56" s="170"/>
      <c r="R56" s="166"/>
      <c r="S56" s="177"/>
      <c r="T56" s="178"/>
      <c r="V56" s="173"/>
      <c r="W56" s="174"/>
      <c r="AD56" s="166"/>
      <c r="AE56" s="166"/>
      <c r="AI56" s="326"/>
    </row>
    <row r="57" spans="1:35" s="167" customFormat="1" ht="18">
      <c r="D57" s="168"/>
      <c r="E57" s="166"/>
      <c r="H57" s="170"/>
      <c r="J57" s="170"/>
      <c r="K57" s="170"/>
      <c r="R57" s="166"/>
      <c r="V57" s="173"/>
      <c r="W57" s="174"/>
      <c r="AD57" s="166"/>
      <c r="AE57" s="166"/>
      <c r="AI57" s="326"/>
    </row>
    <row r="58" spans="1:35" ht="18">
      <c r="A58" s="167"/>
      <c r="B58" s="167"/>
      <c r="C58" s="167"/>
      <c r="F58" s="167"/>
      <c r="J58" s="170"/>
      <c r="K58" s="170"/>
      <c r="L58" s="167"/>
      <c r="M58" s="167"/>
      <c r="N58" s="167"/>
      <c r="O58" s="167"/>
      <c r="R58" s="166"/>
      <c r="AB58" s="167"/>
      <c r="AC58" s="167"/>
      <c r="AD58" s="166"/>
    </row>
    <row r="75" spans="2:2" ht="20.25">
      <c r="B75" s="180"/>
    </row>
  </sheetData>
  <mergeCells count="24">
    <mergeCell ref="Q5:Q6"/>
    <mergeCell ref="A1:AE1"/>
    <mergeCell ref="A2:AE2"/>
    <mergeCell ref="A3:AE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P5"/>
    <mergeCell ref="AD5:AD6"/>
    <mergeCell ref="AE5:AE6"/>
    <mergeCell ref="R5:R6"/>
    <mergeCell ref="S5:U5"/>
    <mergeCell ref="V5:V6"/>
    <mergeCell ref="AB5:AB6"/>
    <mergeCell ref="AC5:AC6"/>
    <mergeCell ref="W5:AA5"/>
  </mergeCells>
  <conditionalFormatting sqref="AE36 AE16">
    <cfRule type="duplicateValues" dxfId="40" priority="1375"/>
  </conditionalFormatting>
  <printOptions horizontalCentered="1"/>
  <pageMargins left="0.19685039370078741" right="0" top="0.35433070866141736" bottom="0.43307086614173229" header="0" footer="0"/>
  <pageSetup paperSize="9" scale="49" fitToHeight="0" orientation="landscape" verticalDpi="1200" r:id="rId1"/>
  <headerFooter>
    <oddFooter xml:space="preserve">&amp;C                                                                                             &amp;R&amp;"-,Bold"&amp;14Page &amp;P of &amp;N  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rgb="FF92D050"/>
  </sheetPr>
  <dimension ref="A1:AH53"/>
  <sheetViews>
    <sheetView view="pageBreakPreview" zoomScale="85" zoomScaleNormal="100" zoomScaleSheetLayoutView="85" zoomScalePageLayoutView="80" workbookViewId="0">
      <selection activeCell="U13" sqref="U13"/>
    </sheetView>
  </sheetViews>
  <sheetFormatPr defaultColWidth="9.140625" defaultRowHeight="12.75"/>
  <cols>
    <col min="1" max="1" width="4.140625" style="156" customWidth="1"/>
    <col min="2" max="2" width="13.42578125" style="156" customWidth="1"/>
    <col min="3" max="3" width="21.7109375" style="157" customWidth="1"/>
    <col min="4" max="4" width="16.7109375" style="158" customWidth="1"/>
    <col min="5" max="5" width="16" style="156" customWidth="1"/>
    <col min="6" max="6" width="10.5703125" style="157" customWidth="1"/>
    <col min="7" max="7" width="4.28515625" style="159" customWidth="1"/>
    <col min="8" max="8" width="5.5703125" style="160" customWidth="1"/>
    <col min="9" max="9" width="5.7109375" style="157" customWidth="1"/>
    <col min="10" max="10" width="8.85546875" style="160" customWidth="1"/>
    <col min="11" max="11" width="9.42578125" style="160" customWidth="1"/>
    <col min="12" max="12" width="10.85546875" style="161" customWidth="1"/>
    <col min="13" max="13" width="11" style="161" customWidth="1"/>
    <col min="14" max="15" width="8.5703125" style="161" customWidth="1"/>
    <col min="16" max="16" width="7.42578125" style="161" customWidth="1"/>
    <col min="17" max="17" width="9.7109375" style="162" customWidth="1"/>
    <col min="18" max="18" width="9.7109375" style="163" customWidth="1"/>
    <col min="19" max="19" width="7.5703125" style="157" customWidth="1"/>
    <col min="20" max="20" width="7.7109375" style="156" customWidth="1"/>
    <col min="21" max="21" width="8" style="157" customWidth="1"/>
    <col min="22" max="22" width="11.28515625" style="163" customWidth="1"/>
    <col min="23" max="23" width="7.7109375" style="165" customWidth="1"/>
    <col min="24" max="24" width="7.7109375" style="157" customWidth="1"/>
    <col min="25" max="25" width="6.28515625" style="157" customWidth="1"/>
    <col min="26" max="26" width="7.140625" style="156" customWidth="1"/>
    <col min="27" max="27" width="7.85546875" style="156" customWidth="1"/>
    <col min="28" max="28" width="11" style="156" customWidth="1"/>
    <col min="29" max="29" width="6.28515625" style="156" bestFit="1" customWidth="1"/>
    <col min="30" max="30" width="15" style="156" bestFit="1" customWidth="1"/>
    <col min="31" max="31" width="10.85546875" style="157" customWidth="1"/>
    <col min="32" max="32" width="13.42578125" style="157" bestFit="1" customWidth="1"/>
    <col min="33" max="33" width="9" style="157" bestFit="1" customWidth="1"/>
    <col min="34" max="34" width="23" style="325" customWidth="1"/>
    <col min="35" max="16384" width="9.140625" style="157"/>
  </cols>
  <sheetData>
    <row r="1" spans="1:34" s="26" customFormat="1" ht="25.5">
      <c r="A1" s="1157" t="s">
        <v>838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  <c r="O1" s="1157"/>
      <c r="P1" s="1157"/>
      <c r="Q1" s="1157"/>
      <c r="R1" s="1157"/>
      <c r="S1" s="1157"/>
      <c r="T1" s="1157"/>
      <c r="U1" s="1157"/>
      <c r="V1" s="1157"/>
      <c r="W1" s="1157"/>
      <c r="X1" s="1157"/>
      <c r="Y1" s="1157"/>
      <c r="Z1" s="1157"/>
      <c r="AA1" s="1157"/>
      <c r="AB1" s="1157"/>
      <c r="AC1" s="1157"/>
      <c r="AD1" s="1157"/>
      <c r="AH1" s="316"/>
    </row>
    <row r="2" spans="1:34" s="26" customFormat="1" ht="18">
      <c r="A2" s="1158" t="s">
        <v>1</v>
      </c>
      <c r="B2" s="1158"/>
      <c r="C2" s="1158"/>
      <c r="D2" s="1158"/>
      <c r="E2" s="1158"/>
      <c r="F2" s="1158"/>
      <c r="G2" s="1158"/>
      <c r="H2" s="1158"/>
      <c r="I2" s="1158"/>
      <c r="J2" s="1158"/>
      <c r="K2" s="1158"/>
      <c r="L2" s="1158"/>
      <c r="M2" s="1158"/>
      <c r="N2" s="1158"/>
      <c r="O2" s="1158"/>
      <c r="P2" s="1158"/>
      <c r="Q2" s="1158"/>
      <c r="R2" s="1158"/>
      <c r="S2" s="1158"/>
      <c r="T2" s="1158"/>
      <c r="U2" s="1158"/>
      <c r="V2" s="1158"/>
      <c r="W2" s="1158"/>
      <c r="X2" s="1158"/>
      <c r="Y2" s="1158"/>
      <c r="Z2" s="1158"/>
      <c r="AA2" s="1158"/>
      <c r="AB2" s="1158"/>
      <c r="AC2" s="1158"/>
      <c r="AD2" s="1158"/>
      <c r="AH2" s="316"/>
    </row>
    <row r="3" spans="1:34" s="26" customFormat="1" ht="18">
      <c r="A3" s="1158" t="str">
        <f>'Spare Parts'!A3:AE3</f>
        <v>Salary Statement for the month of  December - 2024</v>
      </c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H3" s="316"/>
    </row>
    <row r="4" spans="1:34" s="26" customFormat="1" ht="20.25">
      <c r="A4" s="27"/>
      <c r="B4" s="27"/>
      <c r="C4" s="27"/>
      <c r="D4" s="28"/>
      <c r="E4" s="27"/>
      <c r="F4" s="27"/>
      <c r="G4" s="27"/>
      <c r="H4" s="246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9" t="s">
        <v>2</v>
      </c>
      <c r="AH4" s="316"/>
    </row>
    <row r="5" spans="1:34" s="30" customFormat="1" ht="19.5" customHeight="1">
      <c r="A5" s="1190" t="s">
        <v>3</v>
      </c>
      <c r="B5" s="1191" t="s">
        <v>30</v>
      </c>
      <c r="C5" s="1192" t="s">
        <v>31</v>
      </c>
      <c r="D5" s="1193" t="s">
        <v>32</v>
      </c>
      <c r="E5" s="1193" t="s">
        <v>503</v>
      </c>
      <c r="F5" s="1193" t="s">
        <v>34</v>
      </c>
      <c r="G5" s="1194" t="s">
        <v>35</v>
      </c>
      <c r="H5" s="1194" t="s">
        <v>36</v>
      </c>
      <c r="I5" s="1194" t="s">
        <v>37</v>
      </c>
      <c r="J5" s="1194" t="s">
        <v>38</v>
      </c>
      <c r="K5" s="1195" t="s">
        <v>7</v>
      </c>
      <c r="L5" s="1197" t="s">
        <v>39</v>
      </c>
      <c r="M5" s="1197"/>
      <c r="N5" s="1197"/>
      <c r="O5" s="1197"/>
      <c r="P5" s="1197"/>
      <c r="Q5" s="1183" t="s">
        <v>7</v>
      </c>
      <c r="R5" s="1183" t="s">
        <v>8</v>
      </c>
      <c r="S5" s="1184" t="s">
        <v>9</v>
      </c>
      <c r="T5" s="1184"/>
      <c r="U5" s="1184"/>
      <c r="V5" s="1185" t="s">
        <v>40</v>
      </c>
      <c r="W5" s="1184" t="s">
        <v>10</v>
      </c>
      <c r="X5" s="1184"/>
      <c r="Y5" s="1184"/>
      <c r="Z5" s="1184"/>
      <c r="AA5" s="1185" t="s">
        <v>11</v>
      </c>
      <c r="AB5" s="1186" t="s">
        <v>41</v>
      </c>
      <c r="AC5" s="1181" t="s">
        <v>42</v>
      </c>
      <c r="AD5" s="1182" t="s">
        <v>43</v>
      </c>
      <c r="AH5" s="317"/>
    </row>
    <row r="6" spans="1:34" s="272" customFormat="1" ht="63.75" customHeight="1">
      <c r="A6" s="1190"/>
      <c r="B6" s="1191"/>
      <c r="C6" s="1192"/>
      <c r="D6" s="1193"/>
      <c r="E6" s="1193"/>
      <c r="F6" s="1193"/>
      <c r="G6" s="1194"/>
      <c r="H6" s="1194"/>
      <c r="I6" s="1194"/>
      <c r="J6" s="1194"/>
      <c r="K6" s="1196"/>
      <c r="L6" s="270" t="s">
        <v>13</v>
      </c>
      <c r="M6" s="270" t="s">
        <v>14</v>
      </c>
      <c r="N6" s="271" t="s">
        <v>15</v>
      </c>
      <c r="O6" s="271" t="s">
        <v>16</v>
      </c>
      <c r="P6" s="271" t="s">
        <v>17</v>
      </c>
      <c r="Q6" s="1183"/>
      <c r="R6" s="1183"/>
      <c r="S6" s="350" t="s">
        <v>18</v>
      </c>
      <c r="T6" s="350" t="s">
        <v>19</v>
      </c>
      <c r="U6" s="350" t="s">
        <v>623</v>
      </c>
      <c r="V6" s="1185"/>
      <c r="W6" s="350" t="s">
        <v>21</v>
      </c>
      <c r="X6" s="350" t="s">
        <v>585</v>
      </c>
      <c r="Y6" s="252" t="s">
        <v>1249</v>
      </c>
      <c r="Z6" s="350" t="s">
        <v>536</v>
      </c>
      <c r="AA6" s="1185"/>
      <c r="AB6" s="1186"/>
      <c r="AC6" s="1181"/>
      <c r="AD6" s="1182"/>
      <c r="AH6" s="318"/>
    </row>
    <row r="7" spans="1:34" s="47" customFormat="1" ht="24.95" customHeight="1">
      <c r="A7" s="89" t="s">
        <v>633</v>
      </c>
      <c r="B7" s="90"/>
      <c r="C7" s="90"/>
      <c r="D7" s="281"/>
      <c r="E7" s="90"/>
      <c r="F7" s="90"/>
      <c r="G7" s="90"/>
      <c r="H7" s="247"/>
      <c r="I7" s="90"/>
      <c r="J7" s="90"/>
      <c r="K7" s="117"/>
      <c r="L7" s="117"/>
      <c r="M7" s="117"/>
      <c r="N7" s="117"/>
      <c r="O7" s="117"/>
      <c r="P7" s="268"/>
      <c r="Q7" s="90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90"/>
      <c r="AC7" s="268"/>
      <c r="AD7" s="349"/>
      <c r="AF7" s="61"/>
      <c r="AG7" s="198"/>
      <c r="AH7" s="320"/>
    </row>
    <row r="8" spans="1:34" s="61" customFormat="1" ht="24.95" customHeight="1">
      <c r="A8" s="62"/>
      <c r="B8" s="63"/>
      <c r="C8" s="285"/>
      <c r="D8" s="115"/>
      <c r="E8" s="115"/>
      <c r="F8" s="265"/>
      <c r="G8" s="66"/>
      <c r="H8" s="402"/>
      <c r="I8" s="66"/>
      <c r="J8" s="67"/>
      <c r="K8" s="192"/>
      <c r="L8" s="68"/>
      <c r="M8" s="68"/>
      <c r="N8" s="68"/>
      <c r="O8" s="68"/>
      <c r="P8" s="68"/>
      <c r="Q8" s="70"/>
      <c r="R8" s="70"/>
      <c r="S8" s="192"/>
      <c r="T8" s="192"/>
      <c r="U8" s="337"/>
      <c r="V8" s="71"/>
      <c r="W8" s="192"/>
      <c r="X8" s="192"/>
      <c r="Y8" s="337"/>
      <c r="Z8" s="192"/>
      <c r="AA8" s="71"/>
      <c r="AB8" s="73"/>
      <c r="AC8" s="346"/>
      <c r="AD8" s="343"/>
      <c r="AG8" s="183"/>
      <c r="AH8" s="320"/>
    </row>
    <row r="9" spans="1:34" s="30" customFormat="1" ht="24.95" customHeight="1">
      <c r="A9" s="101"/>
      <c r="B9" s="102"/>
      <c r="C9" s="103"/>
      <c r="D9" s="282"/>
      <c r="E9" s="104"/>
      <c r="F9" s="105"/>
      <c r="G9" s="105"/>
      <c r="H9" s="105"/>
      <c r="I9" s="105"/>
      <c r="J9" s="107"/>
      <c r="K9" s="107">
        <f t="shared" ref="K9:AB9" si="0">SUM(K8:K8)</f>
        <v>0</v>
      </c>
      <c r="L9" s="107">
        <f t="shared" si="0"/>
        <v>0</v>
      </c>
      <c r="M9" s="107">
        <f t="shared" si="0"/>
        <v>0</v>
      </c>
      <c r="N9" s="107">
        <f t="shared" si="0"/>
        <v>0</v>
      </c>
      <c r="O9" s="107">
        <f t="shared" si="0"/>
        <v>0</v>
      </c>
      <c r="P9" s="107">
        <f t="shared" si="0"/>
        <v>0</v>
      </c>
      <c r="Q9" s="107">
        <f t="shared" si="0"/>
        <v>0</v>
      </c>
      <c r="R9" s="107">
        <f t="shared" si="0"/>
        <v>0</v>
      </c>
      <c r="S9" s="107">
        <f t="shared" si="0"/>
        <v>0</v>
      </c>
      <c r="T9" s="107">
        <f t="shared" si="0"/>
        <v>0</v>
      </c>
      <c r="U9" s="107">
        <f t="shared" si="0"/>
        <v>0</v>
      </c>
      <c r="V9" s="107">
        <f t="shared" si="0"/>
        <v>0</v>
      </c>
      <c r="W9" s="107">
        <f t="shared" si="0"/>
        <v>0</v>
      </c>
      <c r="X9" s="107">
        <f t="shared" si="0"/>
        <v>0</v>
      </c>
      <c r="Y9" s="107">
        <f t="shared" si="0"/>
        <v>0</v>
      </c>
      <c r="Z9" s="107">
        <f t="shared" si="0"/>
        <v>0</v>
      </c>
      <c r="AA9" s="107">
        <f t="shared" si="0"/>
        <v>0</v>
      </c>
      <c r="AB9" s="107">
        <f t="shared" si="0"/>
        <v>0</v>
      </c>
      <c r="AC9" s="114"/>
      <c r="AD9" s="113"/>
      <c r="AH9" s="320"/>
    </row>
    <row r="10" spans="1:34" s="47" customFormat="1" ht="20.25" customHeight="1">
      <c r="A10" s="201"/>
      <c r="B10" s="202"/>
      <c r="C10" s="203"/>
      <c r="D10" s="204"/>
      <c r="E10" s="205"/>
      <c r="F10" s="206"/>
      <c r="G10" s="208"/>
      <c r="H10" s="207"/>
      <c r="I10" s="208"/>
      <c r="J10" s="207"/>
      <c r="K10" s="274"/>
      <c r="L10" s="274"/>
      <c r="M10" s="274"/>
      <c r="N10" s="274"/>
      <c r="O10" s="274"/>
      <c r="P10" s="39"/>
      <c r="Q10" s="275"/>
      <c r="R10" s="275"/>
      <c r="S10" s="41"/>
      <c r="T10" s="41"/>
      <c r="U10" s="42"/>
      <c r="V10" s="276"/>
      <c r="W10" s="274"/>
      <c r="X10" s="44"/>
      <c r="Y10" s="41"/>
      <c r="Z10" s="41"/>
      <c r="AA10" s="45"/>
      <c r="AB10" s="45"/>
      <c r="AC10" s="277"/>
      <c r="AD10" s="35"/>
      <c r="AH10" s="320"/>
    </row>
    <row r="11" spans="1:34" s="30" customFormat="1" ht="24.95" customHeight="1" thickBot="1">
      <c r="A11" s="101">
        <f>+A8</f>
        <v>0</v>
      </c>
      <c r="B11" s="102"/>
      <c r="C11" s="103"/>
      <c r="D11" s="282"/>
      <c r="E11" s="104"/>
      <c r="F11" s="105"/>
      <c r="G11" s="105"/>
      <c r="H11" s="105"/>
      <c r="I11" s="105"/>
      <c r="J11" s="105"/>
      <c r="K11" s="273">
        <f>K9</f>
        <v>0</v>
      </c>
      <c r="L11" s="273">
        <f t="shared" ref="L11:AB11" si="1">L9</f>
        <v>0</v>
      </c>
      <c r="M11" s="273">
        <f t="shared" si="1"/>
        <v>0</v>
      </c>
      <c r="N11" s="273">
        <f t="shared" si="1"/>
        <v>0</v>
      </c>
      <c r="O11" s="273">
        <f t="shared" si="1"/>
        <v>0</v>
      </c>
      <c r="P11" s="273">
        <f t="shared" si="1"/>
        <v>0</v>
      </c>
      <c r="Q11" s="273">
        <f t="shared" si="1"/>
        <v>0</v>
      </c>
      <c r="R11" s="273">
        <f t="shared" si="1"/>
        <v>0</v>
      </c>
      <c r="S11" s="273">
        <f t="shared" si="1"/>
        <v>0</v>
      </c>
      <c r="T11" s="273">
        <f t="shared" si="1"/>
        <v>0</v>
      </c>
      <c r="U11" s="273">
        <f t="shared" si="1"/>
        <v>0</v>
      </c>
      <c r="V11" s="273">
        <f t="shared" si="1"/>
        <v>0</v>
      </c>
      <c r="W11" s="273">
        <f t="shared" si="1"/>
        <v>0</v>
      </c>
      <c r="X11" s="273">
        <f t="shared" si="1"/>
        <v>0</v>
      </c>
      <c r="Y11" s="273">
        <f t="shared" si="1"/>
        <v>0</v>
      </c>
      <c r="Z11" s="273">
        <f t="shared" si="1"/>
        <v>0</v>
      </c>
      <c r="AA11" s="273">
        <f t="shared" si="1"/>
        <v>0</v>
      </c>
      <c r="AB11" s="273">
        <f t="shared" si="1"/>
        <v>0</v>
      </c>
      <c r="AC11" s="87"/>
      <c r="AD11" s="88"/>
      <c r="AH11" s="317"/>
    </row>
    <row r="12" spans="1:34" s="142" customFormat="1" ht="24.95" customHeight="1" thickTop="1">
      <c r="A12" s="132"/>
      <c r="B12" s="133"/>
      <c r="C12" s="134"/>
      <c r="D12" s="135"/>
      <c r="E12" s="136"/>
      <c r="F12" s="137"/>
      <c r="G12" s="138"/>
      <c r="H12" s="138"/>
      <c r="I12" s="139"/>
      <c r="J12" s="139"/>
      <c r="K12" s="139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1"/>
      <c r="AD12" s="136"/>
      <c r="AH12" s="321"/>
    </row>
    <row r="13" spans="1:34" s="130" customFormat="1" ht="20.100000000000001" customHeight="1">
      <c r="A13" s="121"/>
      <c r="B13" s="121"/>
      <c r="C13" s="122"/>
      <c r="D13" s="143"/>
      <c r="E13" s="121"/>
      <c r="F13" s="122"/>
      <c r="G13" s="124"/>
      <c r="H13" s="124"/>
      <c r="I13" s="123"/>
      <c r="J13" s="124"/>
      <c r="K13" s="124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W13" s="14"/>
      <c r="X13" s="127" t="s">
        <v>29</v>
      </c>
      <c r="Y13" s="126"/>
      <c r="Z13" s="125"/>
      <c r="AA13" s="125"/>
      <c r="AB13" s="127" t="s">
        <v>23</v>
      </c>
      <c r="AC13" s="128" t="s">
        <v>24</v>
      </c>
      <c r="AD13" s="15">
        <f>SUMIF(AC$7:AC$9,AB13,AB$7:AB$9)</f>
        <v>0</v>
      </c>
      <c r="AH13" s="322"/>
    </row>
    <row r="14" spans="1:34" s="130" customFormat="1" ht="20.100000000000001" customHeight="1">
      <c r="A14" s="121"/>
      <c r="B14" s="121"/>
      <c r="C14" s="122"/>
      <c r="D14" s="143"/>
      <c r="E14" s="121"/>
      <c r="F14" s="122"/>
      <c r="G14" s="124"/>
      <c r="H14" s="124"/>
      <c r="I14" s="123"/>
      <c r="J14" s="124"/>
      <c r="K14" s="124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4"/>
      <c r="W14" s="14"/>
      <c r="X14" s="125"/>
      <c r="Y14" s="126"/>
      <c r="Z14" s="125"/>
      <c r="AA14" s="125"/>
      <c r="AB14" s="127" t="s">
        <v>25</v>
      </c>
      <c r="AC14" s="128" t="s">
        <v>24</v>
      </c>
      <c r="AD14" s="15">
        <f>SUMIF(AC$7:AC$9,AB14,AB$7:AB$9)</f>
        <v>0</v>
      </c>
      <c r="AH14" s="322"/>
    </row>
    <row r="15" spans="1:34" s="130" customFormat="1" ht="20.100000000000001" customHeight="1" thickBot="1">
      <c r="A15" s="121"/>
      <c r="B15" s="121"/>
      <c r="C15" s="122"/>
      <c r="D15" s="143"/>
      <c r="E15" s="121"/>
      <c r="F15" s="122"/>
      <c r="G15" s="124"/>
      <c r="H15" s="124"/>
      <c r="I15" s="123"/>
      <c r="J15" s="124"/>
      <c r="K15" s="124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4"/>
      <c r="W15" s="14"/>
      <c r="X15" s="125"/>
      <c r="Y15" s="126"/>
      <c r="Z15" s="125"/>
      <c r="AA15" s="125"/>
      <c r="AB15" s="127"/>
      <c r="AC15" s="128"/>
      <c r="AD15" s="144">
        <f>SUM(AD13:AD14)</f>
        <v>0</v>
      </c>
      <c r="AH15" s="322"/>
    </row>
    <row r="16" spans="1:34" s="130" customFormat="1" ht="20.100000000000001" customHeight="1" thickTop="1">
      <c r="A16" s="121"/>
      <c r="B16" s="121"/>
      <c r="C16" s="122"/>
      <c r="D16" s="143"/>
      <c r="E16" s="121"/>
      <c r="F16" s="122"/>
      <c r="G16" s="124"/>
      <c r="H16" s="124"/>
      <c r="I16" s="123"/>
      <c r="J16" s="124"/>
      <c r="K16" s="124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4"/>
      <c r="W16" s="14"/>
      <c r="X16" s="125"/>
      <c r="Y16" s="126"/>
      <c r="Z16" s="125"/>
      <c r="AA16" s="125"/>
      <c r="AB16" s="127"/>
      <c r="AC16" s="128"/>
      <c r="AD16" s="129"/>
      <c r="AH16" s="322"/>
    </row>
    <row r="17" spans="1:34" s="130" customFormat="1" ht="20.100000000000001" customHeight="1">
      <c r="A17" s="121"/>
      <c r="B17" s="121"/>
      <c r="C17" s="122"/>
      <c r="D17" s="143"/>
      <c r="E17" s="121"/>
      <c r="F17" s="122"/>
      <c r="G17" s="124"/>
      <c r="H17" s="124"/>
      <c r="I17" s="123"/>
      <c r="J17" s="124"/>
      <c r="K17" s="124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4"/>
      <c r="W17" s="14"/>
      <c r="X17" s="125"/>
      <c r="Y17" s="126"/>
      <c r="Z17" s="125"/>
      <c r="AA17" s="125"/>
      <c r="AB17" s="127"/>
      <c r="AC17" s="128"/>
      <c r="AD17" s="129"/>
      <c r="AH17" s="322"/>
    </row>
    <row r="18" spans="1:34" s="130" customFormat="1" ht="20.100000000000001" customHeight="1">
      <c r="A18" s="121"/>
      <c r="B18" s="121"/>
      <c r="C18" s="122"/>
      <c r="D18" s="143"/>
      <c r="E18" s="121"/>
      <c r="F18" s="122"/>
      <c r="G18" s="124"/>
      <c r="H18" s="124"/>
      <c r="I18" s="123"/>
      <c r="J18" s="124"/>
      <c r="K18" s="124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4"/>
      <c r="W18" s="14"/>
      <c r="X18" s="125"/>
      <c r="Y18" s="126"/>
      <c r="Z18" s="125"/>
      <c r="AA18" s="125"/>
      <c r="AB18" s="127"/>
      <c r="AC18" s="128"/>
      <c r="AD18" s="129"/>
      <c r="AH18" s="322"/>
    </row>
    <row r="19" spans="1:34" s="130" customFormat="1" ht="20.100000000000001" customHeight="1">
      <c r="A19" s="121"/>
      <c r="B19" s="121"/>
      <c r="C19" s="122"/>
      <c r="D19" s="143"/>
      <c r="E19" s="121"/>
      <c r="F19" s="122"/>
      <c r="G19" s="124"/>
      <c r="H19" s="124"/>
      <c r="I19" s="123"/>
      <c r="J19" s="124"/>
      <c r="K19" s="124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4"/>
      <c r="W19" s="14"/>
      <c r="X19" s="125"/>
      <c r="Y19" s="126"/>
      <c r="Z19" s="125"/>
      <c r="AA19" s="125"/>
      <c r="AB19" s="127"/>
      <c r="AC19" s="128"/>
      <c r="AD19" s="129"/>
      <c r="AH19" s="322"/>
    </row>
    <row r="20" spans="1:34" s="130" customFormat="1" ht="20.100000000000001" customHeight="1">
      <c r="A20" s="121"/>
      <c r="B20" s="121"/>
      <c r="C20" s="122"/>
      <c r="D20" s="143"/>
      <c r="E20" s="121"/>
      <c r="F20" s="122"/>
      <c r="G20" s="124"/>
      <c r="H20" s="124"/>
      <c r="I20" s="123"/>
      <c r="J20" s="124"/>
      <c r="K20" s="124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4"/>
      <c r="W20" s="14"/>
      <c r="X20" s="125"/>
      <c r="Y20" s="126"/>
      <c r="Z20" s="125"/>
      <c r="AA20" s="125"/>
      <c r="AB20" s="127"/>
      <c r="AC20" s="128"/>
      <c r="AD20" s="129"/>
      <c r="AH20" s="322"/>
    </row>
    <row r="21" spans="1:34" s="130" customFormat="1" ht="20.100000000000001" customHeight="1">
      <c r="A21" s="121"/>
      <c r="B21" s="121"/>
      <c r="C21" s="122"/>
      <c r="D21" s="143"/>
      <c r="E21" s="121"/>
      <c r="F21" s="122"/>
      <c r="G21" s="124"/>
      <c r="H21" s="124"/>
      <c r="I21" s="123"/>
      <c r="J21" s="124"/>
      <c r="K21" s="124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4"/>
      <c r="W21" s="14"/>
      <c r="X21" s="125"/>
      <c r="Y21" s="126"/>
      <c r="Z21" s="125"/>
      <c r="AA21" s="125"/>
      <c r="AB21" s="127"/>
      <c r="AC21" s="128"/>
      <c r="AD21" s="129"/>
      <c r="AH21" s="322"/>
    </row>
    <row r="22" spans="1:34" s="130" customFormat="1" ht="19.5" customHeight="1">
      <c r="A22" s="121"/>
      <c r="B22" s="121"/>
      <c r="C22" s="122"/>
      <c r="D22" s="143"/>
      <c r="E22" s="121"/>
      <c r="F22" s="122"/>
      <c r="G22" s="124"/>
      <c r="H22" s="124"/>
      <c r="I22" s="123"/>
      <c r="J22" s="124"/>
      <c r="K22" s="124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4"/>
      <c r="W22" s="14"/>
      <c r="X22" s="14"/>
      <c r="Y22" s="14"/>
      <c r="Z22" s="13"/>
      <c r="AA22" s="12"/>
      <c r="AB22" s="12"/>
      <c r="AD22" s="129"/>
      <c r="AH22" s="322"/>
    </row>
    <row r="23" spans="1:34" s="130" customFormat="1" ht="15">
      <c r="A23" s="121"/>
      <c r="B23" s="121"/>
      <c r="C23" s="122"/>
      <c r="D23" s="143"/>
      <c r="E23" s="121"/>
      <c r="F23" s="122"/>
      <c r="G23" s="124"/>
      <c r="H23" s="124"/>
      <c r="I23" s="123"/>
      <c r="J23" s="124"/>
      <c r="K23" s="124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45"/>
      <c r="AD23" s="145"/>
      <c r="AH23" s="322"/>
    </row>
    <row r="24" spans="1:34" s="130" customFormat="1" ht="19.5" customHeight="1">
      <c r="A24" s="121"/>
      <c r="B24" s="121"/>
      <c r="C24" s="122"/>
      <c r="D24" s="143"/>
      <c r="E24" s="121"/>
      <c r="F24" s="122"/>
      <c r="G24" s="124"/>
      <c r="H24" s="124"/>
      <c r="I24" s="123"/>
      <c r="J24" s="124"/>
      <c r="K24" s="124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45"/>
      <c r="AD24" s="145"/>
      <c r="AH24" s="322"/>
    </row>
    <row r="25" spans="1:34" s="130" customFormat="1" ht="19.5" customHeight="1">
      <c r="A25" s="121"/>
      <c r="B25" s="121"/>
      <c r="C25" s="122"/>
      <c r="D25" s="143"/>
      <c r="E25" s="121"/>
      <c r="F25" s="122"/>
      <c r="G25" s="124"/>
      <c r="H25" s="124"/>
      <c r="I25" s="123"/>
      <c r="J25" s="124"/>
      <c r="K25" s="124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45"/>
      <c r="AD25" s="145"/>
      <c r="AH25" s="322"/>
    </row>
    <row r="26" spans="1:34" s="130" customFormat="1" ht="19.5" customHeight="1">
      <c r="A26" s="121"/>
      <c r="B26" s="121"/>
      <c r="C26" s="122"/>
      <c r="D26" s="143"/>
      <c r="E26" s="121"/>
      <c r="F26" s="122"/>
      <c r="G26" s="124"/>
      <c r="H26" s="124"/>
      <c r="I26" s="123"/>
      <c r="J26" s="124"/>
      <c r="K26" s="124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X26" s="146"/>
      <c r="Y26" s="123"/>
      <c r="Z26" s="123"/>
      <c r="AA26" s="123"/>
      <c r="AB26" s="123"/>
      <c r="AC26" s="145"/>
      <c r="AD26" s="123"/>
      <c r="AH26" s="322"/>
    </row>
    <row r="27" spans="1:34" s="17" customFormat="1" ht="16.5">
      <c r="B27" s="18"/>
      <c r="C27" s="18"/>
      <c r="D27" s="147"/>
      <c r="E27" s="148"/>
      <c r="F27" s="18"/>
      <c r="G27" s="18"/>
      <c r="H27" s="248"/>
      <c r="I27" s="18"/>
      <c r="J27" s="18"/>
      <c r="K27" s="18"/>
      <c r="L27" s="18"/>
      <c r="M27" s="18"/>
      <c r="N27" s="18"/>
      <c r="Q27" s="18"/>
      <c r="R27" s="18"/>
      <c r="S27" s="18"/>
      <c r="T27" s="18"/>
      <c r="U27" s="18"/>
      <c r="V27" s="18"/>
      <c r="Z27" s="18"/>
      <c r="AA27" s="18"/>
      <c r="AB27" s="18"/>
      <c r="AC27" s="18"/>
      <c r="AD27" s="18"/>
      <c r="AH27" s="323"/>
    </row>
    <row r="28" spans="1:34" s="130" customFormat="1" ht="19.5" customHeight="1">
      <c r="A28" s="121"/>
      <c r="B28" s="121"/>
      <c r="C28" s="122"/>
      <c r="D28" s="143"/>
      <c r="E28" s="121"/>
      <c r="F28" s="122"/>
      <c r="G28" s="124"/>
      <c r="H28" s="124"/>
      <c r="I28" s="123"/>
      <c r="J28" s="124"/>
      <c r="K28" s="124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45"/>
      <c r="AD28" s="145"/>
      <c r="AH28" s="322"/>
    </row>
    <row r="29" spans="1:34" s="155" customFormat="1" ht="19.5" customHeight="1">
      <c r="A29" s="149"/>
      <c r="B29" s="149"/>
      <c r="C29" s="150"/>
      <c r="D29" s="151"/>
      <c r="E29" s="149"/>
      <c r="F29" s="150"/>
      <c r="G29" s="152"/>
      <c r="H29" s="152"/>
      <c r="I29" s="153"/>
      <c r="J29" s="152"/>
      <c r="K29" s="152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23"/>
      <c r="X29" s="153"/>
      <c r="Y29" s="153"/>
      <c r="Z29" s="153"/>
      <c r="AA29" s="153"/>
      <c r="AB29" s="153"/>
      <c r="AC29" s="154"/>
      <c r="AD29" s="154"/>
      <c r="AH29" s="324"/>
    </row>
    <row r="30" spans="1:34" ht="21" customHeight="1">
      <c r="V30" s="164"/>
    </row>
    <row r="31" spans="1:34" s="167" customFormat="1" ht="18">
      <c r="A31" s="166"/>
      <c r="B31" s="166"/>
      <c r="D31" s="168"/>
      <c r="E31" s="166"/>
      <c r="G31" s="169"/>
      <c r="H31" s="170"/>
      <c r="J31" s="170"/>
      <c r="K31" s="170"/>
      <c r="L31" s="171"/>
      <c r="M31" s="171"/>
      <c r="N31" s="171"/>
      <c r="O31" s="171"/>
      <c r="P31" s="171"/>
      <c r="Q31" s="172"/>
      <c r="R31" s="173"/>
      <c r="T31" s="166"/>
      <c r="V31" s="173"/>
      <c r="W31" s="174"/>
      <c r="X31" s="175"/>
      <c r="Y31" s="176"/>
      <c r="Z31" s="166"/>
      <c r="AA31" s="166"/>
      <c r="AB31" s="166"/>
      <c r="AC31" s="166"/>
      <c r="AD31" s="166"/>
      <c r="AH31" s="326"/>
    </row>
    <row r="32" spans="1:34" s="167" customFormat="1" ht="18">
      <c r="A32" s="166"/>
      <c r="B32" s="166"/>
      <c r="D32" s="168"/>
      <c r="E32" s="166"/>
      <c r="H32" s="170"/>
      <c r="J32" s="169"/>
      <c r="K32" s="169"/>
      <c r="L32" s="171"/>
      <c r="M32" s="172"/>
      <c r="O32" s="171"/>
      <c r="R32" s="173"/>
      <c r="T32" s="166"/>
      <c r="V32" s="173"/>
      <c r="W32" s="174"/>
      <c r="Z32" s="166"/>
      <c r="AA32" s="166"/>
      <c r="AB32" s="166"/>
      <c r="AC32" s="166"/>
      <c r="AD32" s="166"/>
      <c r="AH32" s="326"/>
    </row>
    <row r="33" spans="1:34" s="167" customFormat="1" ht="18">
      <c r="D33" s="168"/>
      <c r="E33" s="166"/>
      <c r="H33" s="170"/>
      <c r="J33" s="170"/>
      <c r="K33" s="170"/>
      <c r="R33" s="166"/>
      <c r="S33" s="177"/>
      <c r="T33" s="178"/>
      <c r="V33" s="173"/>
      <c r="W33" s="174"/>
      <c r="AC33" s="166"/>
      <c r="AD33" s="166"/>
      <c r="AH33" s="326"/>
    </row>
    <row r="34" spans="1:34" s="167" customFormat="1" ht="18">
      <c r="D34" s="168"/>
      <c r="E34" s="166"/>
      <c r="F34" s="179"/>
      <c r="H34" s="170"/>
      <c r="J34" s="170"/>
      <c r="K34" s="170"/>
      <c r="R34" s="166"/>
      <c r="S34" s="177"/>
      <c r="T34" s="178"/>
      <c r="V34" s="173"/>
      <c r="W34" s="174"/>
      <c r="AC34" s="166"/>
      <c r="AD34" s="166"/>
      <c r="AH34" s="326"/>
    </row>
    <row r="35" spans="1:34" s="167" customFormat="1" ht="18">
      <c r="D35" s="168"/>
      <c r="E35" s="166"/>
      <c r="H35" s="170"/>
      <c r="J35" s="170"/>
      <c r="K35" s="170"/>
      <c r="R35" s="166"/>
      <c r="V35" s="173"/>
      <c r="W35" s="174"/>
      <c r="AC35" s="166"/>
      <c r="AD35" s="166"/>
      <c r="AH35" s="326"/>
    </row>
    <row r="36" spans="1:34" ht="18">
      <c r="A36" s="167"/>
      <c r="B36" s="167"/>
      <c r="C36" s="167"/>
      <c r="F36" s="167"/>
      <c r="J36" s="170"/>
      <c r="K36" s="170"/>
      <c r="L36" s="167"/>
      <c r="M36" s="167"/>
      <c r="N36" s="167"/>
      <c r="O36" s="167"/>
      <c r="R36" s="166"/>
      <c r="AA36" s="167"/>
      <c r="AB36" s="167"/>
      <c r="AC36" s="166"/>
    </row>
    <row r="53" spans="2:2" ht="20.25">
      <c r="B53" s="180"/>
    </row>
  </sheetData>
  <mergeCells count="24">
    <mergeCell ref="Q5:Q6"/>
    <mergeCell ref="A1:AD1"/>
    <mergeCell ref="A2:AD2"/>
    <mergeCell ref="A3:AD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P5"/>
    <mergeCell ref="AC5:AC6"/>
    <mergeCell ref="AD5:AD6"/>
    <mergeCell ref="R5:R6"/>
    <mergeCell ref="S5:U5"/>
    <mergeCell ref="V5:V6"/>
    <mergeCell ref="W5:Z5"/>
    <mergeCell ref="AA5:AA6"/>
    <mergeCell ref="AB5:AB6"/>
  </mergeCells>
  <printOptions horizontalCentered="1"/>
  <pageMargins left="0.19685039370078741" right="0" top="0.35433070866141736" bottom="0.43307086614173229" header="0" footer="0"/>
  <pageSetup paperSize="9" scale="50" fitToHeight="0" orientation="landscape" verticalDpi="1200" r:id="rId1"/>
  <headerFooter>
    <oddFooter xml:space="preserve">&amp;C                                                                                             &amp;R&amp;"-,Bold"&amp;14Page &amp;P of &amp;N  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">
    <tabColor rgb="FFCCFF66"/>
  </sheetPr>
  <dimension ref="A2:K35"/>
  <sheetViews>
    <sheetView view="pageBreakPreview" zoomScaleNormal="100" zoomScaleSheetLayoutView="100" workbookViewId="0">
      <selection activeCell="N19" sqref="N19"/>
    </sheetView>
  </sheetViews>
  <sheetFormatPr defaultColWidth="9.140625" defaultRowHeight="15"/>
  <cols>
    <col min="1" max="1" width="9.140625" style="1098"/>
    <col min="2" max="4" width="9.140625" style="1099"/>
    <col min="5" max="5" width="14.28515625" style="1099" customWidth="1"/>
    <col min="6" max="6" width="9.140625" style="1099"/>
    <col min="7" max="7" width="7.28515625" style="1099" customWidth="1"/>
    <col min="8" max="8" width="9.140625" style="1099"/>
    <col min="9" max="9" width="12.7109375" style="1099" bestFit="1" customWidth="1"/>
    <col min="10" max="10" width="9.140625" style="1099"/>
    <col min="11" max="11" width="13.28515625" style="1099" bestFit="1" customWidth="1"/>
    <col min="12" max="16384" width="9.140625" style="1099"/>
  </cols>
  <sheetData>
    <row r="2" spans="1:11" ht="33.75" customHeight="1"/>
    <row r="4" spans="1:11" ht="15.75">
      <c r="A4" s="1100" t="s">
        <v>1900</v>
      </c>
      <c r="H4" s="1101" t="s">
        <v>391</v>
      </c>
      <c r="I4" s="371">
        <v>45662</v>
      </c>
    </row>
    <row r="5" spans="1:11" ht="15.75">
      <c r="A5" s="1100"/>
    </row>
    <row r="6" spans="1:11" ht="18" customHeight="1">
      <c r="A6" s="1100" t="s">
        <v>392</v>
      </c>
    </row>
    <row r="7" spans="1:11" ht="18" customHeight="1">
      <c r="A7" s="1100" t="s">
        <v>393</v>
      </c>
    </row>
    <row r="8" spans="1:11" ht="18" customHeight="1">
      <c r="A8" s="1100" t="s">
        <v>877</v>
      </c>
    </row>
    <row r="9" spans="1:11" ht="18" customHeight="1">
      <c r="A9" s="1100" t="s">
        <v>394</v>
      </c>
    </row>
    <row r="10" spans="1:11" ht="15.75">
      <c r="A10" s="1100"/>
    </row>
    <row r="11" spans="1:11" ht="15.75">
      <c r="A11" s="1100"/>
    </row>
    <row r="12" spans="1:11" ht="28.5" customHeight="1">
      <c r="A12" s="1102" t="s">
        <v>395</v>
      </c>
      <c r="B12" s="1198" t="s">
        <v>1832</v>
      </c>
      <c r="C12" s="1198"/>
      <c r="D12" s="1198"/>
      <c r="E12" s="1198"/>
      <c r="F12" s="1198"/>
      <c r="G12" s="1198"/>
      <c r="H12" s="1198"/>
      <c r="I12" s="1198"/>
    </row>
    <row r="13" spans="1:11" ht="7.5" customHeight="1">
      <c r="A13" s="1100"/>
    </row>
    <row r="14" spans="1:11" ht="9" customHeight="1">
      <c r="A14" s="1100"/>
    </row>
    <row r="15" spans="1:11" ht="15.75">
      <c r="A15" s="1103" t="s">
        <v>396</v>
      </c>
    </row>
    <row r="16" spans="1:11" ht="15.75">
      <c r="A16" s="1100"/>
      <c r="K16" s="1104">
        <f ca="1">'Bank Sum-360'!G65</f>
        <v>2077351</v>
      </c>
    </row>
    <row r="17" spans="1:11" ht="114.75" customHeight="1">
      <c r="A17" s="1199" t="s">
        <v>1901</v>
      </c>
      <c r="B17" s="1199"/>
      <c r="C17" s="1199"/>
      <c r="D17" s="1199"/>
      <c r="E17" s="1199"/>
      <c r="F17" s="1199"/>
      <c r="G17" s="1199"/>
      <c r="H17" s="1199"/>
      <c r="I17" s="1199"/>
      <c r="K17" s="1099" t="e">
        <f ca="1">[3]!SpellNumber(K16)</f>
        <v>#NAME?</v>
      </c>
    </row>
    <row r="18" spans="1:11" ht="23.25">
      <c r="A18" s="1105"/>
    </row>
    <row r="19" spans="1:11" ht="15.75">
      <c r="A19" s="1100" t="s">
        <v>397</v>
      </c>
    </row>
    <row r="20" spans="1:11" ht="23.25">
      <c r="A20" s="1105"/>
    </row>
    <row r="21" spans="1:11" ht="15.75">
      <c r="A21" s="1100" t="s">
        <v>398</v>
      </c>
    </row>
    <row r="22" spans="1:11" ht="23.25">
      <c r="A22" s="1105"/>
    </row>
    <row r="23" spans="1:11" ht="15.75">
      <c r="A23" s="1100" t="s">
        <v>399</v>
      </c>
    </row>
    <row r="31" spans="1:11" ht="56.25" customHeight="1"/>
    <row r="35" spans="1:1" ht="15.75">
      <c r="A35" s="1100" t="s">
        <v>400</v>
      </c>
    </row>
  </sheetData>
  <mergeCells count="2">
    <mergeCell ref="B12:I12"/>
    <mergeCell ref="A17:I17"/>
  </mergeCells>
  <pageMargins left="0.78740157480314965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tabColor rgb="FFCCFF66"/>
  </sheetPr>
  <dimension ref="A2:L69"/>
  <sheetViews>
    <sheetView view="pageBreakPreview" zoomScaleNormal="100" zoomScaleSheetLayoutView="100" workbookViewId="0">
      <selection activeCell="T7" sqref="T7"/>
    </sheetView>
  </sheetViews>
  <sheetFormatPr defaultColWidth="9.140625" defaultRowHeight="24.95" customHeight="1"/>
  <cols>
    <col min="1" max="1" width="6" style="409" customWidth="1"/>
    <col min="2" max="2" width="12.42578125" style="409" customWidth="1"/>
    <col min="3" max="3" width="23" style="409" customWidth="1"/>
    <col min="4" max="4" width="16.85546875" style="419" customWidth="1"/>
    <col min="5" max="5" width="16.5703125" style="419" customWidth="1"/>
    <col min="6" max="6" width="15.85546875" style="420" customWidth="1"/>
    <col min="7" max="7" width="12.28515625" style="607" customWidth="1"/>
    <col min="8" max="8" width="9.140625" style="409"/>
    <col min="9" max="9" width="10" style="803" bestFit="1" customWidth="1"/>
    <col min="10" max="16384" width="9.140625" style="409"/>
  </cols>
  <sheetData>
    <row r="2" spans="1:10" ht="24.95" customHeight="1">
      <c r="A2" s="1201" t="s">
        <v>1833</v>
      </c>
      <c r="B2" s="1201"/>
      <c r="C2" s="1201"/>
      <c r="D2" s="1201"/>
      <c r="E2" s="1201"/>
      <c r="F2" s="1201"/>
      <c r="G2" s="1201"/>
    </row>
    <row r="3" spans="1:10" ht="12" customHeight="1">
      <c r="A3" s="410"/>
      <c r="B3" s="410"/>
      <c r="C3" s="410"/>
      <c r="D3" s="411"/>
      <c r="E3" s="411"/>
      <c r="F3" s="412"/>
      <c r="G3" s="604"/>
    </row>
    <row r="4" spans="1:10" ht="30" customHeight="1">
      <c r="A4" s="414" t="s">
        <v>3</v>
      </c>
      <c r="B4" s="415" t="s">
        <v>401</v>
      </c>
      <c r="C4" s="415" t="s">
        <v>402</v>
      </c>
      <c r="D4" s="414" t="s">
        <v>403</v>
      </c>
      <c r="E4" s="414" t="s">
        <v>404</v>
      </c>
      <c r="F4" s="414" t="s">
        <v>405</v>
      </c>
      <c r="G4" s="416" t="s">
        <v>41</v>
      </c>
    </row>
    <row r="5" spans="1:10" s="417" customFormat="1" ht="24" customHeight="1">
      <c r="A5" s="807" t="s">
        <v>406</v>
      </c>
      <c r="B5" s="93" t="s">
        <v>45</v>
      </c>
      <c r="C5" s="510" t="str">
        <f>VLOOKUP(B5,Harv!$B$8:$AE$90,2,0)</f>
        <v>Md. Mahfuzur Rahman Sazal</v>
      </c>
      <c r="D5" s="511" t="str">
        <f>VLOOKUP(B5,Harv!$B$8:$AE$90,3,0)</f>
        <v>Assistant Manager</v>
      </c>
      <c r="E5" s="511" t="str">
        <f>VLOOKUP(B5,Harv!$B$8:$AE$90,4,0)</f>
        <v>A&amp;F</v>
      </c>
      <c r="F5" s="517" t="str">
        <f>VLOOKUP(B5,Harv!$B$8:$AE$90,30,0)</f>
        <v>103.103.1267239</v>
      </c>
      <c r="G5" s="516">
        <f>VLOOKUP(B5,Harv!$B$8:$AE$90,28,0)</f>
        <v>57783</v>
      </c>
      <c r="I5" s="804"/>
      <c r="J5" s="562"/>
    </row>
    <row r="6" spans="1:10" s="417" customFormat="1" ht="24" customHeight="1">
      <c r="A6" s="808" t="s">
        <v>407</v>
      </c>
      <c r="B6" s="805" t="s">
        <v>49</v>
      </c>
      <c r="C6" s="633" t="str">
        <f>VLOOKUP(B6,Harv!$B$8:$AE$86,2,0)</f>
        <v>Md. Abdullah Al Mamun</v>
      </c>
      <c r="D6" s="634" t="str">
        <f>VLOOKUP(B6,Harv!$B$8:$AE$86,3,0)</f>
        <v>Assistant Manager</v>
      </c>
      <c r="E6" s="634" t="str">
        <f>VLOOKUP(B6,Harv!$B$8:$AE$86,4,0)</f>
        <v>A&amp;F</v>
      </c>
      <c r="F6" s="635" t="str">
        <f>VLOOKUP(B6,Harv!$B$8:$AE$90,30,0)</f>
        <v>108.101.0402810</v>
      </c>
      <c r="G6" s="636">
        <f>VLOOKUP(B6,Harv!$B$8:$AE$90,28,0)</f>
        <v>50983</v>
      </c>
      <c r="I6" s="804"/>
      <c r="J6" s="562"/>
    </row>
    <row r="7" spans="1:10" s="417" customFormat="1" ht="24" customHeight="1">
      <c r="A7" s="808" t="s">
        <v>408</v>
      </c>
      <c r="B7" s="805" t="s">
        <v>52</v>
      </c>
      <c r="C7" s="633" t="str">
        <f>VLOOKUP(B7,Harv!$B$8:$AE$86,2,0)</f>
        <v>Md. Saiful Islam</v>
      </c>
      <c r="D7" s="634" t="str">
        <f>VLOOKUP(B7,Harv!$B$8:$AE$86,3,0)</f>
        <v>Accountant</v>
      </c>
      <c r="E7" s="634" t="str">
        <f>VLOOKUP(B7,Harv!$B$8:$AE$86,4,0)</f>
        <v>A&amp;F</v>
      </c>
      <c r="F7" s="635" t="str">
        <f>VLOOKUP(B7,Harv!$B$8:$AE$90,30,0)</f>
        <v>318.103.0001930</v>
      </c>
      <c r="G7" s="636">
        <f>VLOOKUP(B7,Harv!$B$8:$AE$90,28,0)</f>
        <v>30070</v>
      </c>
      <c r="I7" s="804"/>
      <c r="J7" s="562"/>
    </row>
    <row r="8" spans="1:10" s="417" customFormat="1" ht="24" customHeight="1">
      <c r="A8" s="808" t="s">
        <v>409</v>
      </c>
      <c r="B8" s="805" t="s">
        <v>58</v>
      </c>
      <c r="C8" s="633" t="str">
        <f>VLOOKUP(B8,Harv!$B$8:$AE$86,2,0)</f>
        <v>Md. Ashikur Rahman</v>
      </c>
      <c r="D8" s="634" t="str">
        <f>VLOOKUP(B8,Harv!$B$8:$AE$86,3,0)</f>
        <v>Finance officer</v>
      </c>
      <c r="E8" s="634" t="str">
        <f>VLOOKUP(B8,Harv!$B$8:$AE$86,4,0)</f>
        <v>A&amp;F</v>
      </c>
      <c r="F8" s="635" t="str">
        <f>VLOOKUP(B8,Harv!$B$8:$AE$90,30,0)</f>
        <v>103.103.1300696</v>
      </c>
      <c r="G8" s="636">
        <f>VLOOKUP(B8,Harv!$B$8:$AE$90,28,0)</f>
        <v>32075</v>
      </c>
      <c r="I8" s="804"/>
      <c r="J8" s="562"/>
    </row>
    <row r="9" spans="1:10" s="417" customFormat="1" ht="24" customHeight="1">
      <c r="A9" s="808" t="s">
        <v>410</v>
      </c>
      <c r="B9" s="632" t="s">
        <v>61</v>
      </c>
      <c r="C9" s="633" t="str">
        <f>VLOOKUP(B9,Harv!$B$8:$AE$86,2,0)</f>
        <v>Nurun Nahar Nipa</v>
      </c>
      <c r="D9" s="634" t="str">
        <f>VLOOKUP(B9,Harv!$B$8:$AE$86,3,0)</f>
        <v>Executive (F&amp;A)</v>
      </c>
      <c r="E9" s="634" t="str">
        <f>VLOOKUP(B9,Harv!$B$8:$AE$86,4,0)</f>
        <v>A&amp;F</v>
      </c>
      <c r="F9" s="635" t="str">
        <f>VLOOKUP(B9,Harv!$B$8:$AE$90,30,0)</f>
        <v>103.103.1293208</v>
      </c>
      <c r="G9" s="636">
        <f>VLOOKUP(B9,Harv!$B$8:$AE$90,28,0)</f>
        <v>29100</v>
      </c>
      <c r="I9" s="804"/>
      <c r="J9" s="562"/>
    </row>
    <row r="10" spans="1:10" s="417" customFormat="1" ht="24" customHeight="1">
      <c r="A10" s="808" t="s">
        <v>411</v>
      </c>
      <c r="B10" s="805" t="s">
        <v>64</v>
      </c>
      <c r="C10" s="633" t="str">
        <f>VLOOKUP(B10,Harv!$B$8:$AE$86,2,0)</f>
        <v>Asiful Islam</v>
      </c>
      <c r="D10" s="634" t="str">
        <f>VLOOKUP(B10,Harv!$B$8:$AE$86,3,0)</f>
        <v>Manager</v>
      </c>
      <c r="E10" s="634" t="str">
        <f>VLOOKUP(B10,Harv!$B$8:$AE$86,4,0)</f>
        <v>A&amp;F</v>
      </c>
      <c r="F10" s="635" t="str">
        <f>VLOOKUP(B10,Harv!$B$8:$AE$90,30,0)</f>
        <v>101.103.1113437</v>
      </c>
      <c r="G10" s="636">
        <f>VLOOKUP(B10,Harv!$B$8:$AE$90,28,0)</f>
        <v>79545</v>
      </c>
      <c r="I10" s="804"/>
      <c r="J10" s="562"/>
    </row>
    <row r="11" spans="1:10" s="417" customFormat="1" ht="24" customHeight="1">
      <c r="A11" s="808" t="s">
        <v>412</v>
      </c>
      <c r="B11" s="805" t="s">
        <v>858</v>
      </c>
      <c r="C11" s="633" t="str">
        <f>VLOOKUP(B11,Harv!$B$8:$AE$86,2,0)</f>
        <v>Mohammad Nawshad Ali</v>
      </c>
      <c r="D11" s="634" t="str">
        <f>VLOOKUP(B11,Harv!$B$8:$AE$86,3,0)</f>
        <v>Accounts Officer</v>
      </c>
      <c r="E11" s="634" t="str">
        <f>VLOOKUP(B11,Harv!$B$8:$AE$86,4,0)</f>
        <v>F&amp;A</v>
      </c>
      <c r="F11" s="635" t="str">
        <f>VLOOKUP(B11,Harv!$B$8:$AE$90,30,0)</f>
        <v>103.103.1367217</v>
      </c>
      <c r="G11" s="636">
        <f>VLOOKUP(B11,Harv!$B$8:$AE$90,28,0)</f>
        <v>29100</v>
      </c>
      <c r="I11" s="804"/>
      <c r="J11" s="562"/>
    </row>
    <row r="12" spans="1:10" s="417" customFormat="1" ht="24" customHeight="1">
      <c r="A12" s="808" t="s">
        <v>413</v>
      </c>
      <c r="B12" s="806" t="s">
        <v>68</v>
      </c>
      <c r="C12" s="633" t="str">
        <f>VLOOKUP(B12,Harv!$B$8:$AE$86,2,0)</f>
        <v>Md. Kawsaruzzaman</v>
      </c>
      <c r="D12" s="634" t="str">
        <f>VLOOKUP(B12,Harv!$B$8:$AE$86,3,0)</f>
        <v>Deputy Manager</v>
      </c>
      <c r="E12" s="634" t="str">
        <f>VLOOKUP(B12,Harv!$B$8:$AE$86,4,0)</f>
        <v>HR &amp; Admin</v>
      </c>
      <c r="F12" s="635" t="str">
        <f>VLOOKUP(B12,Harv!$B$8:$AE$90,30,0)</f>
        <v>103.103.1267244</v>
      </c>
      <c r="G12" s="636">
        <f>VLOOKUP(B12,Harv!$B$8:$AE$90,28,0)</f>
        <v>57783</v>
      </c>
      <c r="I12" s="804"/>
      <c r="J12" s="562"/>
    </row>
    <row r="13" spans="1:10" s="417" customFormat="1" ht="24" customHeight="1">
      <c r="A13" s="808" t="s">
        <v>414</v>
      </c>
      <c r="B13" s="805" t="s">
        <v>75</v>
      </c>
      <c r="C13" s="633" t="str">
        <f>VLOOKUP(B13,Harv!$B$8:$AE$86,2,0)</f>
        <v>Md. Mehedi Hasan</v>
      </c>
      <c r="D13" s="634" t="str">
        <f>VLOOKUP(B13,Harv!$B$8:$AE$86,3,0)</f>
        <v>Office Assistant</v>
      </c>
      <c r="E13" s="634" t="str">
        <f>VLOOKUP(B13,Harv!$B$8:$AE$86,4,0)</f>
        <v>Admin</v>
      </c>
      <c r="F13" s="635" t="str">
        <f>VLOOKUP(B13,Harv!$B$8:$AE$90,30,0)</f>
        <v>103.103.1298342</v>
      </c>
      <c r="G13" s="636">
        <f>VLOOKUP(B13,Harv!$B$8:$AE$90,28,0)</f>
        <v>11915</v>
      </c>
      <c r="I13" s="804"/>
      <c r="J13" s="562"/>
    </row>
    <row r="14" spans="1:10" s="417" customFormat="1" ht="24" customHeight="1">
      <c r="A14" s="808" t="s">
        <v>415</v>
      </c>
      <c r="B14" s="805" t="s">
        <v>78</v>
      </c>
      <c r="C14" s="633" t="str">
        <f>VLOOKUP(B14,Harv!$B$8:$AE$86,2,0)</f>
        <v>Md. Sah Alam</v>
      </c>
      <c r="D14" s="634" t="str">
        <f>VLOOKUP(B14,Harv!$B$8:$AE$86,3,0)</f>
        <v>Office Assistant</v>
      </c>
      <c r="E14" s="634" t="str">
        <f>VLOOKUP(B14,Harv!$B$8:$AE$86,4,0)</f>
        <v>Admin</v>
      </c>
      <c r="F14" s="635" t="str">
        <f>VLOOKUP(B14,Harv!$B$8:$AE$90,30,0)</f>
        <v>318.103.0001903</v>
      </c>
      <c r="G14" s="636">
        <f>VLOOKUP(B14,Harv!$B$8:$AE$90,28,0)</f>
        <v>17460</v>
      </c>
      <c r="I14" s="804"/>
      <c r="J14" s="562"/>
    </row>
    <row r="15" spans="1:10" s="417" customFormat="1" ht="24" customHeight="1">
      <c r="A15" s="808" t="s">
        <v>416</v>
      </c>
      <c r="B15" s="805" t="s">
        <v>84</v>
      </c>
      <c r="C15" s="633" t="str">
        <f>VLOOKUP(B15,Harv!$B$8:$AE$86,2,0)</f>
        <v>Md. Robiul Alom Rahin</v>
      </c>
      <c r="D15" s="634" t="str">
        <f>VLOOKUP(B15,Harv!$B$8:$AE$86,3,0)</f>
        <v>Office Assistant</v>
      </c>
      <c r="E15" s="634" t="str">
        <f>VLOOKUP(B15,Harv!$B$8:$AE$86,4,0)</f>
        <v>Admin</v>
      </c>
      <c r="F15" s="635" t="str">
        <f>VLOOKUP(B15,Harv!$B$8:$AE$90,30,0)</f>
        <v>103.103.1293190</v>
      </c>
      <c r="G15" s="636">
        <f>VLOOKUP(B15,Harv!$B$8:$AE$90,28,0)</f>
        <v>14550</v>
      </c>
      <c r="I15" s="804"/>
      <c r="J15" s="562"/>
    </row>
    <row r="16" spans="1:10" s="417" customFormat="1" ht="24" customHeight="1">
      <c r="A16" s="808" t="s">
        <v>417</v>
      </c>
      <c r="B16" s="805" t="s">
        <v>855</v>
      </c>
      <c r="C16" s="633" t="str">
        <f>VLOOKUP(B16,Harv!$B$8:$AE$86,2,0)</f>
        <v>Md Shamim Hossain</v>
      </c>
      <c r="D16" s="634" t="str">
        <f>VLOOKUP(B16,Harv!$B$8:$AE$86,3,0)</f>
        <v>Cleaner</v>
      </c>
      <c r="E16" s="634" t="str">
        <f>VLOOKUP(B16,Harv!$B$8:$AE$86,4,0)</f>
        <v>Admin</v>
      </c>
      <c r="F16" s="635" t="str">
        <f>VLOOKUP(B16,Harv!$B$8:$AE$90,30,0)</f>
        <v>103.103.1365831</v>
      </c>
      <c r="G16" s="636">
        <f>VLOOKUP(B16,Harv!$B$8:$AE$90,28,0)</f>
        <v>16095</v>
      </c>
      <c r="I16" s="804"/>
      <c r="J16" s="562"/>
    </row>
    <row r="17" spans="1:10" s="417" customFormat="1" ht="24" customHeight="1">
      <c r="A17" s="808" t="s">
        <v>418</v>
      </c>
      <c r="B17" s="805" t="s">
        <v>90</v>
      </c>
      <c r="C17" s="633" t="str">
        <f>VLOOKUP(B17,Harv!$B$8:$AE$86,2,0)</f>
        <v>Md. Tohidur Rahman</v>
      </c>
      <c r="D17" s="634" t="str">
        <f>VLOOKUP(B17,Harv!$B$8:$AE$86,3,0)</f>
        <v>Senior Manager</v>
      </c>
      <c r="E17" s="634" t="str">
        <f>VLOOKUP(B17,Harv!$B$8:$AE$86,4,0)</f>
        <v>SCM</v>
      </c>
      <c r="F17" s="635" t="str">
        <f>VLOOKUP(B17,Harv!$B$8:$AE$90,30,0)</f>
        <v>116.103.0831555</v>
      </c>
      <c r="G17" s="636">
        <f>VLOOKUP(B17,Harv!$B$8:$AE$90,28,0)</f>
        <v>103555</v>
      </c>
      <c r="I17" s="804"/>
      <c r="J17" s="562"/>
    </row>
    <row r="18" spans="1:10" s="417" customFormat="1" ht="24" customHeight="1">
      <c r="A18" s="808" t="s">
        <v>419</v>
      </c>
      <c r="B18" s="805" t="s">
        <v>654</v>
      </c>
      <c r="C18" s="633" t="str">
        <f>VLOOKUP(B18,Harv!$B$8:$AE$86,2,0)</f>
        <v>Md Mostafizur Rahman</v>
      </c>
      <c r="D18" s="634" t="str">
        <f>VLOOKUP(B18,Harv!$B$8:$AE$86,3,0)</f>
        <v>Deputy Manager</v>
      </c>
      <c r="E18" s="634" t="str">
        <f>VLOOKUP(B18,Harv!$B$8:$AE$86,4,0)</f>
        <v>Commercial</v>
      </c>
      <c r="F18" s="635" t="str">
        <f>VLOOKUP(B18,Harv!$B$8:$AE$90,30,0)</f>
        <v>103.103.0580390</v>
      </c>
      <c r="G18" s="636">
        <f>VLOOKUP(B18,Harv!$B$8:$AE$90,28,0)</f>
        <v>34860</v>
      </c>
      <c r="I18" s="804"/>
      <c r="J18" s="562"/>
    </row>
    <row r="19" spans="1:10" s="417" customFormat="1" ht="24" customHeight="1">
      <c r="A19" s="808" t="s">
        <v>420</v>
      </c>
      <c r="B19" s="805" t="s">
        <v>95</v>
      </c>
      <c r="C19" s="633" t="str">
        <f>VLOOKUP(B19,Harv!$B$8:$AE$86,2,0)</f>
        <v>Shafiq Miah</v>
      </c>
      <c r="D19" s="634" t="str">
        <f>VLOOKUP(B19,Harv!$B$8:$AE$86,3,0)</f>
        <v>Mechanic</v>
      </c>
      <c r="E19" s="634" t="str">
        <f>VLOOKUP(B19,Harv!$B$8:$AE$86,4,0)</f>
        <v>Technical</v>
      </c>
      <c r="F19" s="635" t="str">
        <f>VLOOKUP(B19,Harv!$B$8:$AE$90,30,0)</f>
        <v>103.103.1252484</v>
      </c>
      <c r="G19" s="636">
        <f>VLOOKUP(B19,Harv!$B$8:$AE$90,28,0)</f>
        <v>21280</v>
      </c>
      <c r="I19" s="804"/>
      <c r="J19" s="562"/>
    </row>
    <row r="20" spans="1:10" s="417" customFormat="1" ht="24" customHeight="1">
      <c r="A20" s="808" t="s">
        <v>724</v>
      </c>
      <c r="B20" s="805" t="s">
        <v>99</v>
      </c>
      <c r="C20" s="633" t="str">
        <f>VLOOKUP(B20,Harv!$B$8:$AE$86,2,0)</f>
        <v>Md. Rahis Uddin</v>
      </c>
      <c r="D20" s="634" t="str">
        <f>VLOOKUP(B20,Harv!$B$8:$AE$86,3,0)</f>
        <v>Mechanic</v>
      </c>
      <c r="E20" s="634" t="str">
        <f>VLOOKUP(B20,Harv!$B$8:$AE$86,4,0)</f>
        <v>Technical</v>
      </c>
      <c r="F20" s="635" t="str">
        <f>VLOOKUP(B20,Harv!$B$8:$AE$90,30,0)</f>
        <v>190.103.0055668</v>
      </c>
      <c r="G20" s="636">
        <f>VLOOKUP(B20,Harv!$B$8:$AE$90,28,0)</f>
        <v>21825</v>
      </c>
      <c r="I20" s="804"/>
      <c r="J20" s="562"/>
    </row>
    <row r="21" spans="1:10" s="417" customFormat="1" ht="24" customHeight="1">
      <c r="A21" s="808" t="s">
        <v>725</v>
      </c>
      <c r="B21" s="805" t="s">
        <v>104</v>
      </c>
      <c r="C21" s="633" t="str">
        <f>VLOOKUP(B21,Harv!$B$8:$AE$86,2,0)</f>
        <v>Lutfor Rahman</v>
      </c>
      <c r="D21" s="634" t="str">
        <f>VLOOKUP(B21,Harv!$B$8:$AE$86,3,0)</f>
        <v>Mechanic</v>
      </c>
      <c r="E21" s="634" t="str">
        <f>VLOOKUP(B21,Harv!$B$8:$AE$86,4,0)</f>
        <v>Technical</v>
      </c>
      <c r="F21" s="635" t="str">
        <f>VLOOKUP(B21,Harv!$B$8:$AE$90,30,0)</f>
        <v>226.158.0013030</v>
      </c>
      <c r="G21" s="636">
        <f>VLOOKUP(B21,Harv!$B$8:$AE$90,28,0)</f>
        <v>14538</v>
      </c>
      <c r="I21" s="804"/>
      <c r="J21" s="562"/>
    </row>
    <row r="22" spans="1:10" s="417" customFormat="1" ht="24" customHeight="1">
      <c r="A22" s="808" t="s">
        <v>726</v>
      </c>
      <c r="B22" s="805" t="s">
        <v>110</v>
      </c>
      <c r="C22" s="633" t="str">
        <f>VLOOKUP(B22,Harv!$B$8:$AE$86,2,0)</f>
        <v xml:space="preserve">Md. Iqbal </v>
      </c>
      <c r="D22" s="634" t="str">
        <f>VLOOKUP(B22,Harv!$B$8:$AE$86,3,0)</f>
        <v>Jr.Mechanic</v>
      </c>
      <c r="E22" s="634" t="str">
        <f>VLOOKUP(B22,Harv!$B$8:$AE$86,4,0)</f>
        <v>Technical</v>
      </c>
      <c r="F22" s="635" t="str">
        <f>VLOOKUP(B22,Harv!$B$8:$AE$90,30,0)</f>
        <v>226.158.0010637</v>
      </c>
      <c r="G22" s="636">
        <f>VLOOKUP(B22,Harv!$B$8:$AE$90,28,0)</f>
        <v>16472</v>
      </c>
      <c r="I22" s="804"/>
      <c r="J22" s="562"/>
    </row>
    <row r="23" spans="1:10" s="417" customFormat="1" ht="24" customHeight="1">
      <c r="A23" s="808" t="s">
        <v>727</v>
      </c>
      <c r="B23" s="632" t="s">
        <v>116</v>
      </c>
      <c r="C23" s="633" t="str">
        <f>VLOOKUP(B23,Harv!$B$8:$AE$86,2,0)</f>
        <v>Md. Raza</v>
      </c>
      <c r="D23" s="634" t="str">
        <f>VLOOKUP(B23,Harv!$B$8:$AE$86,3,0)</f>
        <v>Mechanic</v>
      </c>
      <c r="E23" s="634" t="str">
        <f>VLOOKUP(B23,Harv!$B$8:$AE$86,4,0)</f>
        <v>Technical</v>
      </c>
      <c r="F23" s="635" t="str">
        <f>VLOOKUP(B23,Harv!$B$8:$AE$90,30,0)</f>
        <v>263.158.0023293</v>
      </c>
      <c r="G23" s="636">
        <f>VLOOKUP(B23,Harv!$B$8:$AE$90,28,0)</f>
        <v>19732</v>
      </c>
      <c r="I23" s="804"/>
      <c r="J23" s="562"/>
    </row>
    <row r="24" spans="1:10" s="417" customFormat="1" ht="24" customHeight="1">
      <c r="A24" s="808" t="s">
        <v>728</v>
      </c>
      <c r="B24" s="806" t="s">
        <v>123</v>
      </c>
      <c r="C24" s="633" t="str">
        <f>VLOOKUP(B24,Harv!$B$8:$AE$86,2,0)</f>
        <v>Esmail Hossain</v>
      </c>
      <c r="D24" s="634" t="str">
        <f>VLOOKUP(B24,Harv!$B$8:$AE$86,3,0)</f>
        <v>Jr. Mechanic</v>
      </c>
      <c r="E24" s="634" t="str">
        <f>VLOOKUP(B24,Harv!$B$8:$AE$86,4,0)</f>
        <v>Technical</v>
      </c>
      <c r="F24" s="635" t="str">
        <f>VLOOKUP(B24,Harv!$B$8:$AE$90,30,0)</f>
        <v>226.158.0014342</v>
      </c>
      <c r="G24" s="636">
        <f>VLOOKUP(B24,Harv!$B$8:$AE$90,28,0)</f>
        <v>15696</v>
      </c>
      <c r="I24" s="804"/>
      <c r="J24" s="562"/>
    </row>
    <row r="25" spans="1:10" s="417" customFormat="1" ht="24" customHeight="1">
      <c r="A25" s="808" t="s">
        <v>729</v>
      </c>
      <c r="B25" s="632" t="s">
        <v>126</v>
      </c>
      <c r="C25" s="633" t="str">
        <f>VLOOKUP(B25,Harv!$B$8:$AE$86,2,0)</f>
        <v>Md. Emran Hosen</v>
      </c>
      <c r="D25" s="634" t="str">
        <f>VLOOKUP(B25,Harv!$B$8:$AE$86,3,0)</f>
        <v>Jr. Mechanic</v>
      </c>
      <c r="E25" s="634" t="str">
        <f>VLOOKUP(B25,Harv!$B$8:$AE$86,4,0)</f>
        <v>Technical</v>
      </c>
      <c r="F25" s="635" t="str">
        <f>VLOOKUP(B25,Harv!$B$8:$AE$90,30,0)</f>
        <v>204.103.0058985</v>
      </c>
      <c r="G25" s="636">
        <f>VLOOKUP(B25,Harv!$B$8:$AE$90,28,0)</f>
        <v>15745</v>
      </c>
      <c r="I25" s="804"/>
      <c r="J25" s="562"/>
    </row>
    <row r="26" spans="1:10" s="417" customFormat="1" ht="24" customHeight="1">
      <c r="A26" s="808" t="s">
        <v>730</v>
      </c>
      <c r="B26" s="805" t="s">
        <v>132</v>
      </c>
      <c r="C26" s="633" t="str">
        <f>VLOOKUP(B26,Harv!$B$8:$AE$86,2,0)</f>
        <v>Aklas Ahmed</v>
      </c>
      <c r="D26" s="634" t="str">
        <f>VLOOKUP(B26,Harv!$B$8:$AE$86,3,0)</f>
        <v>Mechanic</v>
      </c>
      <c r="E26" s="634" t="str">
        <f>VLOOKUP(B26,Harv!$B$8:$AE$86,4,0)</f>
        <v>Technical</v>
      </c>
      <c r="F26" s="635" t="str">
        <f>VLOOKUP(B26,Harv!$B$8:$AE$90,30,0)</f>
        <v>289.103.0001794</v>
      </c>
      <c r="G26" s="636">
        <f>VLOOKUP(B26,Harv!$B$8:$AE$90,28,0)</f>
        <v>16829</v>
      </c>
      <c r="I26" s="804"/>
      <c r="J26" s="562"/>
    </row>
    <row r="27" spans="1:10" s="417" customFormat="1" ht="24" customHeight="1">
      <c r="A27" s="808" t="s">
        <v>731</v>
      </c>
      <c r="B27" s="805" t="s">
        <v>142</v>
      </c>
      <c r="C27" s="633" t="str">
        <f>VLOOKUP(B27,Harv!$B$8:$AE$86,2,0)</f>
        <v>Md. Rakib Uddin</v>
      </c>
      <c r="D27" s="634" t="str">
        <f>VLOOKUP(B27,Harv!$B$8:$AE$86,3,0)</f>
        <v>Mechanic</v>
      </c>
      <c r="E27" s="634" t="str">
        <f>VLOOKUP(B27,Harv!$B$8:$AE$86,4,0)</f>
        <v>Technical</v>
      </c>
      <c r="F27" s="635" t="str">
        <f>VLOOKUP(B27,Harv!$B$8:$AE$90,30,0)</f>
        <v>289.103.0001908</v>
      </c>
      <c r="G27" s="636">
        <f>VLOOKUP(B27,Harv!$B$8:$AE$90,28,0)</f>
        <v>15964</v>
      </c>
      <c r="I27" s="804"/>
      <c r="J27" s="562"/>
    </row>
    <row r="28" spans="1:10" s="417" customFormat="1" ht="24" customHeight="1">
      <c r="A28" s="808" t="s">
        <v>732</v>
      </c>
      <c r="B28" s="805" t="s">
        <v>145</v>
      </c>
      <c r="C28" s="633" t="str">
        <f>VLOOKUP(B28,Harv!$B$8:$AE$86,2,0)</f>
        <v>Md. Sabbir Hossen Ripon</v>
      </c>
      <c r="D28" s="634" t="str">
        <f>VLOOKUP(B28,Harv!$B$8:$AE$86,3,0)</f>
        <v>Jr. Mechanic</v>
      </c>
      <c r="E28" s="634" t="str">
        <f>VLOOKUP(B28,Harv!$B$8:$AE$86,4,0)</f>
        <v>Technical</v>
      </c>
      <c r="F28" s="635" t="str">
        <f>VLOOKUP(B28,Harv!$B$8:$AE$90,30,0)</f>
        <v>120.151.0515500</v>
      </c>
      <c r="G28" s="636">
        <f>VLOOKUP(B28,Harv!$B$8:$AE$90,28,0)</f>
        <v>14538</v>
      </c>
      <c r="I28" s="804"/>
      <c r="J28" s="562"/>
    </row>
    <row r="29" spans="1:10" s="417" customFormat="1" ht="24" customHeight="1">
      <c r="A29" s="808" t="s">
        <v>733</v>
      </c>
      <c r="B29" s="806" t="s">
        <v>151</v>
      </c>
      <c r="C29" s="633" t="str">
        <f>VLOOKUP(B29,Harv!$B$8:$AE$86,2,0)</f>
        <v>Abdul Wadud</v>
      </c>
      <c r="D29" s="634" t="str">
        <f>VLOOKUP(B29,Harv!$B$8:$AE$86,3,0)</f>
        <v>Asst. Mechanic</v>
      </c>
      <c r="E29" s="634" t="str">
        <f>VLOOKUP(B29,Harv!$B$8:$AE$86,4,0)</f>
        <v>Technical</v>
      </c>
      <c r="F29" s="635" t="str">
        <f>VLOOKUP(B29,Harv!$B$8:$AE$90,30,0)</f>
        <v>226.158.0014358</v>
      </c>
      <c r="G29" s="636">
        <f>VLOOKUP(B29,Harv!$B$8:$AE$90,28,0)</f>
        <v>13221</v>
      </c>
      <c r="I29" s="804"/>
      <c r="J29" s="562"/>
    </row>
    <row r="30" spans="1:10" s="417" customFormat="1" ht="24" customHeight="1">
      <c r="A30" s="808" t="s">
        <v>734</v>
      </c>
      <c r="B30" s="805" t="s">
        <v>160</v>
      </c>
      <c r="C30" s="633" t="str">
        <f>VLOOKUP(B30,Harv!$B$8:$AE$86,2,0)</f>
        <v>Md. Insan Ali</v>
      </c>
      <c r="D30" s="634" t="str">
        <f>VLOOKUP(B30,Harv!$B$8:$AE$86,3,0)</f>
        <v>Jr. Mechanic</v>
      </c>
      <c r="E30" s="634" t="str">
        <f>VLOOKUP(B30,Harv!$B$8:$AE$86,4,0)</f>
        <v>Technical</v>
      </c>
      <c r="F30" s="635" t="str">
        <f>VLOOKUP(B30,Harv!$B$8:$AE$90,30,0)</f>
        <v>268.158.0019245</v>
      </c>
      <c r="G30" s="636">
        <f>VLOOKUP(B30,Harv!$B$8:$AE$90,28,0)</f>
        <v>15696</v>
      </c>
      <c r="I30" s="804"/>
      <c r="J30" s="562"/>
    </row>
    <row r="31" spans="1:10" s="417" customFormat="1" ht="24" customHeight="1">
      <c r="A31" s="808" t="s">
        <v>735</v>
      </c>
      <c r="B31" s="805" t="s">
        <v>174</v>
      </c>
      <c r="C31" s="633" t="str">
        <f>VLOOKUP(B31,Harv!$B$8:$AE$86,2,0)</f>
        <v>Sadeck Ahmed</v>
      </c>
      <c r="D31" s="634" t="str">
        <f>VLOOKUP(B31,Harv!$B$8:$AE$86,3,0)</f>
        <v>Jr. Mechanic</v>
      </c>
      <c r="E31" s="634" t="str">
        <f>VLOOKUP(B31,Harv!$B$8:$AE$86,4,0)</f>
        <v>Technical</v>
      </c>
      <c r="F31" s="635" t="str">
        <f>VLOOKUP(B31,Harv!$B$8:$AE$90,30,0)</f>
        <v>156.158.0056302</v>
      </c>
      <c r="G31" s="636">
        <f>VLOOKUP(B31,Harv!$B$8:$AE$90,28,0)</f>
        <v>15146</v>
      </c>
      <c r="I31" s="804"/>
      <c r="J31" s="562"/>
    </row>
    <row r="32" spans="1:10" s="417" customFormat="1" ht="24" customHeight="1">
      <c r="A32" s="808" t="s">
        <v>736</v>
      </c>
      <c r="B32" s="805" t="s">
        <v>184</v>
      </c>
      <c r="C32" s="633" t="str">
        <f>VLOOKUP(B32,Harv!$B$8:$AE$86,2,0)</f>
        <v>Md. Repon Miah</v>
      </c>
      <c r="D32" s="634" t="str">
        <f>VLOOKUP(B32,Harv!$B$8:$AE$86,3,0)</f>
        <v>Jr. Mechanic</v>
      </c>
      <c r="E32" s="634" t="str">
        <f>VLOOKUP(B32,Harv!$B$8:$AE$86,4,0)</f>
        <v>Technical</v>
      </c>
      <c r="F32" s="635" t="str">
        <f>VLOOKUP(B32,Harv!$B$8:$AE$90,30,0)</f>
        <v>156.158.0060380</v>
      </c>
      <c r="G32" s="636">
        <f>VLOOKUP(B32,Harv!$B$8:$AE$90,28,0)</f>
        <v>13425</v>
      </c>
      <c r="I32" s="804"/>
      <c r="J32" s="562"/>
    </row>
    <row r="33" spans="1:10" s="417" customFormat="1" ht="24" customHeight="1">
      <c r="A33" s="808" t="s">
        <v>737</v>
      </c>
      <c r="B33" s="805" t="s">
        <v>187</v>
      </c>
      <c r="C33" s="633" t="str">
        <f>VLOOKUP(B33,Harv!$B$8:$AE$86,2,0)</f>
        <v>Md. Mamun Islam</v>
      </c>
      <c r="D33" s="634" t="str">
        <f>VLOOKUP(B33,Harv!$B$8:$AE$86,3,0)</f>
        <v>Mechanic</v>
      </c>
      <c r="E33" s="634" t="str">
        <f>VLOOKUP(B33,Harv!$B$8:$AE$86,4,0)</f>
        <v>Technical</v>
      </c>
      <c r="F33" s="635" t="str">
        <f>VLOOKUP(B33,Harv!$B$8:$AE$90,30,0)</f>
        <v>289.103.0002293</v>
      </c>
      <c r="G33" s="636">
        <f>VLOOKUP(B33,Harv!$B$8:$AE$90,28,0)</f>
        <v>20983</v>
      </c>
      <c r="I33" s="804"/>
      <c r="J33" s="562"/>
    </row>
    <row r="34" spans="1:10" s="417" customFormat="1" ht="24" customHeight="1">
      <c r="A34" s="808" t="s">
        <v>715</v>
      </c>
      <c r="B34" s="805" t="s">
        <v>512</v>
      </c>
      <c r="C34" s="633" t="str">
        <f>VLOOKUP(B34,Harv!$B$8:$AE$86,2,0)</f>
        <v>Md. Mannan Miah</v>
      </c>
      <c r="D34" s="634" t="str">
        <f>VLOOKUP(B34,Harv!$B$8:$AE$86,3,0)</f>
        <v>Mechanic</v>
      </c>
      <c r="E34" s="634" t="str">
        <f>VLOOKUP(B34,Harv!$B$8:$AE$86,4,0)</f>
        <v>Technical</v>
      </c>
      <c r="F34" s="635" t="str">
        <f>VLOOKUP(B34,Harv!$B$8:$AE$90,30,0)</f>
        <v>187.151.0041355</v>
      </c>
      <c r="G34" s="636">
        <f>VLOOKUP(B34,Harv!$B$8:$AE$90,28,0)</f>
        <v>17772</v>
      </c>
      <c r="I34" s="804"/>
      <c r="J34" s="562"/>
    </row>
    <row r="35" spans="1:10" s="417" customFormat="1" ht="24" customHeight="1">
      <c r="A35" s="808" t="s">
        <v>738</v>
      </c>
      <c r="B35" s="805" t="s">
        <v>548</v>
      </c>
      <c r="C35" s="633" t="str">
        <f>VLOOKUP(B35,Harv!$B$8:$AE$86,2,0)</f>
        <v>Md. Sohel Rana</v>
      </c>
      <c r="D35" s="634" t="str">
        <f>VLOOKUP(B35,Harv!$B$8:$AE$86,3,0)</f>
        <v>Mechanic</v>
      </c>
      <c r="E35" s="634" t="str">
        <f>VLOOKUP(B35,Harv!$B$8:$AE$86,4,0)</f>
        <v>Technical</v>
      </c>
      <c r="F35" s="635" t="str">
        <f>VLOOKUP(B35,Harv!$B$8:$AE$90,30,0)</f>
        <v>204.103.0061204</v>
      </c>
      <c r="G35" s="636">
        <f>VLOOKUP(B35,Harv!$B$8:$AE$90,28,0)</f>
        <v>17685</v>
      </c>
      <c r="I35" s="804"/>
      <c r="J35" s="562"/>
    </row>
    <row r="36" spans="1:10" s="417" customFormat="1" ht="24" customHeight="1">
      <c r="A36" s="808" t="s">
        <v>739</v>
      </c>
      <c r="B36" s="805" t="s">
        <v>1846</v>
      </c>
      <c r="C36" s="633" t="str">
        <f>VLOOKUP(B36,Harv!$B$8:$AE$86,2,0)</f>
        <v>Md. Jakir Hossain</v>
      </c>
      <c r="D36" s="634" t="str">
        <f>VLOOKUP(B36,Harv!$B$8:$AE$86,3,0)</f>
        <v>Mechanic</v>
      </c>
      <c r="E36" s="634" t="str">
        <f>VLOOKUP(B36,Harv!$B$8:$AE$86,4,0)</f>
        <v>Technical</v>
      </c>
      <c r="F36" s="635" t="str">
        <f>VLOOKUP(B36,Harv!$B$8:$AE$90,30,0)</f>
        <v>141.151.158162</v>
      </c>
      <c r="G36" s="636">
        <f>VLOOKUP(B36,Harv!$B$8:$AE$90,28,0)</f>
        <v>24516</v>
      </c>
      <c r="I36" s="804"/>
      <c r="J36" s="562"/>
    </row>
    <row r="37" spans="1:10" s="417" customFormat="1" ht="24" customHeight="1">
      <c r="A37" s="808" t="s">
        <v>740</v>
      </c>
      <c r="B37" s="632" t="s">
        <v>1849</v>
      </c>
      <c r="C37" s="633" t="str">
        <f>VLOOKUP(B37,Harv!$B$8:$AE$86,2,0)</f>
        <v>Md. Rubel Rana</v>
      </c>
      <c r="D37" s="634" t="str">
        <f>VLOOKUP(B37,Harv!$B$8:$AE$86,3,0)</f>
        <v>Jr. Mechanic</v>
      </c>
      <c r="E37" s="634" t="str">
        <f>VLOOKUP(B37,Harv!$B$8:$AE$86,4,0)</f>
        <v>Technical</v>
      </c>
      <c r="F37" s="635" t="str">
        <f>VLOOKUP(B37,Harv!$B$8:$AE$90,30,0)</f>
        <v>285.103.0077016</v>
      </c>
      <c r="G37" s="636">
        <f>VLOOKUP(B37,Harv!$B$8:$AE$90,28,0)</f>
        <v>11032</v>
      </c>
      <c r="I37" s="804"/>
      <c r="J37" s="562"/>
    </row>
    <row r="38" spans="1:10" s="417" customFormat="1" ht="24" customHeight="1">
      <c r="A38" s="808" t="s">
        <v>741</v>
      </c>
      <c r="B38" s="805" t="s">
        <v>205</v>
      </c>
      <c r="C38" s="633" t="str">
        <f>VLOOKUP(B38,Harv!$B$8:$AE$86,2,0)</f>
        <v>Imran Hossain</v>
      </c>
      <c r="D38" s="634" t="str">
        <f>VLOOKUP(B38,Harv!$B$8:$AE$86,3,0)</f>
        <v>Territory Sales Officer (Stemz)</v>
      </c>
      <c r="E38" s="634" t="str">
        <f>VLOOKUP(B38,Harv!$B$8:$AE$86,4,0)</f>
        <v>S&amp;M</v>
      </c>
      <c r="F38" s="635" t="str">
        <f>VLOOKUP(B38,Harv!$B$8:$AE$90,30,0)</f>
        <v>208.103.0093940</v>
      </c>
      <c r="G38" s="636">
        <f>VLOOKUP(B38,Harv!$B$8:$AE$90,28,0)</f>
        <v>31365</v>
      </c>
      <c r="I38" s="804"/>
      <c r="J38" s="562"/>
    </row>
    <row r="39" spans="1:10" s="417" customFormat="1" ht="24" customHeight="1">
      <c r="A39" s="808" t="s">
        <v>742</v>
      </c>
      <c r="B39" s="805" t="s">
        <v>208</v>
      </c>
      <c r="C39" s="633" t="str">
        <f>VLOOKUP(B39,Harv!$B$8:$AE$86,2,0)</f>
        <v>Md. Selim Reza</v>
      </c>
      <c r="D39" s="634" t="str">
        <f>VLOOKUP(B39,Harv!$B$8:$AE$86,3,0)</f>
        <v>Territory Sales Officer</v>
      </c>
      <c r="E39" s="634" t="str">
        <f>VLOOKUP(B39,Harv!$B$8:$AE$86,4,0)</f>
        <v>S&amp;M</v>
      </c>
      <c r="F39" s="635" t="str">
        <f>VLOOKUP(B39,Harv!$B$8:$AE$90,30,0)</f>
        <v>318.103.0001919</v>
      </c>
      <c r="G39" s="636">
        <f>VLOOKUP(B39,Harv!$B$8:$AE$90,28,0)</f>
        <v>24515</v>
      </c>
      <c r="I39" s="804"/>
      <c r="J39" s="562"/>
    </row>
    <row r="40" spans="1:10" s="417" customFormat="1" ht="24" customHeight="1">
      <c r="A40" s="808" t="s">
        <v>743</v>
      </c>
      <c r="B40" s="632" t="s">
        <v>213</v>
      </c>
      <c r="C40" s="633" t="str">
        <f>VLOOKUP(B40,Harv!$B$8:$AE$86,2,0)</f>
        <v>Md. Shamsul Alam</v>
      </c>
      <c r="D40" s="634" t="str">
        <f>VLOOKUP(B40,Harv!$B$8:$AE$86,3,0)</f>
        <v>Assistant Territory Manager</v>
      </c>
      <c r="E40" s="634" t="str">
        <f>VLOOKUP(B40,Harv!$B$8:$AE$86,4,0)</f>
        <v>S&amp;M</v>
      </c>
      <c r="F40" s="635" t="str">
        <f>VLOOKUP(B40,Harv!$B$8:$AE$90,30,0)</f>
        <v>231.158.0033558</v>
      </c>
      <c r="G40" s="636">
        <f>VLOOKUP(B40,Harv!$B$8:$AE$90,28,0)</f>
        <v>41778</v>
      </c>
      <c r="I40" s="804"/>
      <c r="J40" s="562"/>
    </row>
    <row r="41" spans="1:10" s="417" customFormat="1" ht="24" customHeight="1">
      <c r="A41" s="808" t="s">
        <v>744</v>
      </c>
      <c r="B41" s="805" t="s">
        <v>224</v>
      </c>
      <c r="C41" s="633" t="str">
        <f>VLOOKUP(B41,Harv!$B$8:$AE$86,2,0)</f>
        <v>Md. Shakibul Hasan Sharif</v>
      </c>
      <c r="D41" s="634" t="str">
        <f>VLOOKUP(B41,Harv!$B$8:$AE$86,3,0)</f>
        <v>Territory Sales officer</v>
      </c>
      <c r="E41" s="634" t="str">
        <f>VLOOKUP(B41,Harv!$B$8:$AE$86,4,0)</f>
        <v>S&amp;M</v>
      </c>
      <c r="F41" s="635" t="str">
        <f>VLOOKUP(B41,Harv!$B$8:$AE$90,30,0)</f>
        <v>200.151.0114322</v>
      </c>
      <c r="G41" s="636">
        <f>VLOOKUP(B41,Harv!$B$8:$AE$90,28,0)</f>
        <v>26102</v>
      </c>
      <c r="I41" s="804"/>
      <c r="J41" s="562"/>
    </row>
    <row r="42" spans="1:10" s="417" customFormat="1" ht="24" customHeight="1">
      <c r="A42" s="808" t="s">
        <v>745</v>
      </c>
      <c r="B42" s="805" t="s">
        <v>235</v>
      </c>
      <c r="C42" s="633" t="str">
        <f>VLOOKUP(B42,Harv!$B$8:$AE$86,2,0)</f>
        <v>Md. Shafiul Kamal</v>
      </c>
      <c r="D42" s="634" t="str">
        <f>VLOOKUP(B42,Harv!$B$8:$AE$86,3,0)</f>
        <v>Assistant Regional Manager</v>
      </c>
      <c r="E42" s="634" t="str">
        <f>VLOOKUP(B42,Harv!$B$8:$AE$86,4,0)</f>
        <v>S&amp;M</v>
      </c>
      <c r="F42" s="635" t="str">
        <f>VLOOKUP(B42,Harv!$B$8:$AE$90,30,0)</f>
        <v>251.105.0021107</v>
      </c>
      <c r="G42" s="636">
        <f>VLOOKUP(B42,Harv!$B$8:$AE$90,28,0)</f>
        <v>45173</v>
      </c>
      <c r="I42" s="804"/>
      <c r="J42" s="562"/>
    </row>
    <row r="43" spans="1:10" s="417" customFormat="1" ht="24" customHeight="1">
      <c r="A43" s="808" t="s">
        <v>746</v>
      </c>
      <c r="B43" s="805" t="s">
        <v>241</v>
      </c>
      <c r="C43" s="633" t="str">
        <f>VLOOKUP(B43,Harv!$B$8:$AE$86,2,0)</f>
        <v>Md. A Wadud Mollah</v>
      </c>
      <c r="D43" s="634" t="str">
        <f>VLOOKUP(B43,Harv!$B$8:$AE$86,3,0)</f>
        <v>AGM</v>
      </c>
      <c r="E43" s="634" t="str">
        <f>VLOOKUP(B43,Harv!$B$8:$AE$86,4,0)</f>
        <v>S&amp;M</v>
      </c>
      <c r="F43" s="635" t="str">
        <f>VLOOKUP(B43,Harv!$B$8:$AE$90,30,0)</f>
        <v>103.103.1252463</v>
      </c>
      <c r="G43" s="636">
        <f>VLOOKUP(B43,Harv!$B$8:$AE$90,28,0)</f>
        <v>90424</v>
      </c>
      <c r="I43" s="804"/>
      <c r="J43" s="562"/>
    </row>
    <row r="44" spans="1:10" s="417" customFormat="1" ht="24" customHeight="1">
      <c r="A44" s="808" t="s">
        <v>747</v>
      </c>
      <c r="B44" s="805" t="s">
        <v>244</v>
      </c>
      <c r="C44" s="633" t="str">
        <f>VLOOKUP(B44,Harv!$B$8:$AE$86,2,0)</f>
        <v>Minhaz Al Hoque</v>
      </c>
      <c r="D44" s="634" t="str">
        <f>VLOOKUP(B44,Harv!$B$8:$AE$86,3,0)</f>
        <v>RM</v>
      </c>
      <c r="E44" s="634" t="str">
        <f>VLOOKUP(B44,Harv!$B$8:$AE$86,4,0)</f>
        <v>S&amp;M</v>
      </c>
      <c r="F44" s="635" t="str">
        <f>VLOOKUP(B44,Harv!$B$8:$AE$90,30,0)</f>
        <v>103.103.1252512</v>
      </c>
      <c r="G44" s="636">
        <f>VLOOKUP(B44,Harv!$B$8:$AE$90,28,0)</f>
        <v>59515</v>
      </c>
      <c r="I44" s="804"/>
      <c r="J44" s="562"/>
    </row>
    <row r="45" spans="1:10" s="417" customFormat="1" ht="24" customHeight="1">
      <c r="A45" s="808" t="s">
        <v>748</v>
      </c>
      <c r="B45" s="632" t="s">
        <v>279</v>
      </c>
      <c r="C45" s="633" t="str">
        <f>VLOOKUP(B45,Harv!$B$8:$AE$86,2,0)</f>
        <v>Md. Tanvir Islam</v>
      </c>
      <c r="D45" s="634" t="str">
        <f>VLOOKUP(B45,Harv!$B$8:$AE$86,3,0)</f>
        <v>Sr. Territory Manager</v>
      </c>
      <c r="E45" s="634" t="str">
        <f>VLOOKUP(B45,Harv!$B$8:$AE$86,4,0)</f>
        <v>S&amp;M</v>
      </c>
      <c r="F45" s="635" t="str">
        <f>VLOOKUP(B45,Harv!$B$8:$AE$90,30,0)</f>
        <v>204.157.0005987</v>
      </c>
      <c r="G45" s="636">
        <f>VLOOKUP(B45,Harv!$B$8:$AE$90,28,0)</f>
        <v>47025</v>
      </c>
      <c r="I45" s="804"/>
      <c r="J45" s="562"/>
    </row>
    <row r="46" spans="1:10" s="417" customFormat="1" ht="24" customHeight="1">
      <c r="A46" s="808" t="s">
        <v>749</v>
      </c>
      <c r="B46" s="632" t="s">
        <v>299</v>
      </c>
      <c r="C46" s="633" t="str">
        <f>VLOOKUP(B46,Harv!$B$8:$AE$86,2,0)</f>
        <v>Md. Abdullah Al Atick</v>
      </c>
      <c r="D46" s="634" t="str">
        <f>VLOOKUP(B46,Harv!$B$8:$AE$86,3,0)</f>
        <v>Deputy Regional Manager</v>
      </c>
      <c r="E46" s="634" t="str">
        <f>VLOOKUP(B46,Harv!$B$8:$AE$86,4,0)</f>
        <v>CRRM</v>
      </c>
      <c r="F46" s="635" t="str">
        <f>VLOOKUP(B46,Harv!$B$8:$AE$90,30,0)</f>
        <v>289.158.0012310</v>
      </c>
      <c r="G46" s="636">
        <f>VLOOKUP(B46,Harv!$B$8:$AE$90,28,0)</f>
        <v>55843</v>
      </c>
      <c r="I46" s="804"/>
      <c r="J46" s="562"/>
    </row>
    <row r="47" spans="1:10" s="417" customFormat="1" ht="24" customHeight="1">
      <c r="A47" s="808" t="s">
        <v>750</v>
      </c>
      <c r="B47" s="805" t="s">
        <v>302</v>
      </c>
      <c r="C47" s="633" t="str">
        <f>VLOOKUP(B47,Harv!$B$8:$AE$86,2,0)</f>
        <v>Md. Sadak Hossain Palash</v>
      </c>
      <c r="D47" s="634" t="str">
        <f>VLOOKUP(B47,Harv!$B$8:$AE$86,3,0)</f>
        <v>DGM (CRRM)</v>
      </c>
      <c r="E47" s="634" t="str">
        <f>VLOOKUP(B47,Harv!$B$8:$AE$86,4,0)</f>
        <v>CRRM</v>
      </c>
      <c r="F47" s="635" t="str">
        <f>VLOOKUP(B47,Harv!$B$8:$AE$90,30,0)</f>
        <v>147.103.0471469</v>
      </c>
      <c r="G47" s="636">
        <f>VLOOKUP(B47,Harv!$B$8:$AE$90,28,0)</f>
        <v>63655</v>
      </c>
      <c r="I47" s="804"/>
      <c r="J47" s="562"/>
    </row>
    <row r="48" spans="1:10" s="417" customFormat="1" ht="24" customHeight="1">
      <c r="A48" s="808" t="s">
        <v>751</v>
      </c>
      <c r="B48" s="805" t="s">
        <v>265</v>
      </c>
      <c r="C48" s="633" t="str">
        <f>VLOOKUP(B48,Harv!$B$8:$AE$86,2,0)</f>
        <v>Farhin Tajrin</v>
      </c>
      <c r="D48" s="634" t="str">
        <f>VLOOKUP(B48,Harv!$B$8:$AE$86,3,0)</f>
        <v>Management Trainee</v>
      </c>
      <c r="E48" s="634" t="str">
        <f>VLOOKUP(B48,Harv!$B$8:$AE$86,4,0)</f>
        <v>Operation</v>
      </c>
      <c r="F48" s="635" t="str">
        <f>VLOOKUP(B48,Harv!$B$8:$AE$90,30,0)</f>
        <v>103.103.1298363</v>
      </c>
      <c r="G48" s="636">
        <f>VLOOKUP(B48,Harv!$B$8:$AE$90,28,0)</f>
        <v>24250</v>
      </c>
      <c r="I48" s="804"/>
      <c r="J48" s="562"/>
    </row>
    <row r="49" spans="1:10" s="417" customFormat="1" ht="24" customHeight="1">
      <c r="A49" s="808" t="s">
        <v>752</v>
      </c>
      <c r="B49" s="805" t="s">
        <v>253</v>
      </c>
      <c r="C49" s="633" t="str">
        <f>VLOOKUP(B49,Harv!$B$8:$AE$86,2,0)</f>
        <v>Nazmun Sadman Sakib</v>
      </c>
      <c r="D49" s="634" t="str">
        <f>VLOOKUP(B49,Harv!$B$8:$AE$86,3,0)</f>
        <v>Assistant Manager</v>
      </c>
      <c r="E49" s="634" t="str">
        <f>VLOOKUP(B49,Harv!$B$8:$AE$86,4,0)</f>
        <v>Operations</v>
      </c>
      <c r="F49" s="635" t="str">
        <f>VLOOKUP(B49,Harv!$B$8:$AE$90,30,0)</f>
        <v>103.103.1267253</v>
      </c>
      <c r="G49" s="636">
        <f>VLOOKUP(B49,Harv!$B$8:$AE$90,28,0)</f>
        <v>32075</v>
      </c>
      <c r="I49" s="804"/>
      <c r="J49" s="562"/>
    </row>
    <row r="50" spans="1:10" s="417" customFormat="1" ht="24" customHeight="1">
      <c r="A50" s="808" t="s">
        <v>753</v>
      </c>
      <c r="B50" s="805" t="s">
        <v>543</v>
      </c>
      <c r="C50" s="633" t="str">
        <f>VLOOKUP(B50,Harv!$B$8:$AE$86,2,0)</f>
        <v>Israt Jahan</v>
      </c>
      <c r="D50" s="634" t="str">
        <f>VLOOKUP(B50,Harv!$B$8:$AE$86,3,0)</f>
        <v>Executive (S&amp;A)</v>
      </c>
      <c r="E50" s="634" t="str">
        <f>VLOOKUP(B50,Harv!$B$8:$AE$86,4,0)</f>
        <v>S&amp;M</v>
      </c>
      <c r="F50" s="635" t="str">
        <f>VLOOKUP(B50,Harv!$B$8:$AE$90,30,0)</f>
        <v>103.103.1343115</v>
      </c>
      <c r="G50" s="636">
        <f>VLOOKUP(B50,Harv!$B$8:$AE$90,28,0)</f>
        <v>19400</v>
      </c>
      <c r="I50" s="804"/>
      <c r="J50" s="562"/>
    </row>
    <row r="51" spans="1:10" s="417" customFormat="1" ht="24" customHeight="1">
      <c r="A51" s="808" t="s">
        <v>754</v>
      </c>
      <c r="B51" s="805" t="s">
        <v>306</v>
      </c>
      <c r="C51" s="633" t="str">
        <f>VLOOKUP(B51,Harv!$B$8:$AE$86,2,0)</f>
        <v>Mst. Ramzan Ali</v>
      </c>
      <c r="D51" s="634" t="str">
        <f>VLOOKUP(B51,Harv!$B$8:$AE$86,3,0)</f>
        <v>Driver</v>
      </c>
      <c r="E51" s="634" t="str">
        <f>VLOOKUP(B51,Harv!$B$8:$AE$86,4,0)</f>
        <v>Transport</v>
      </c>
      <c r="F51" s="635" t="str">
        <f>VLOOKUP(B51,Harv!$B$8:$AE$90,30,0)</f>
        <v>103.103.1387811</v>
      </c>
      <c r="G51" s="636">
        <f>VLOOKUP(B51,Harv!$B$8:$AE$90,28,0)</f>
        <v>21340</v>
      </c>
      <c r="I51" s="804"/>
      <c r="J51" s="562"/>
    </row>
    <row r="52" spans="1:10" s="417" customFormat="1" ht="24" customHeight="1">
      <c r="A52" s="808" t="s">
        <v>755</v>
      </c>
      <c r="B52" s="805" t="s">
        <v>310</v>
      </c>
      <c r="C52" s="633" t="str">
        <f>VLOOKUP(B52,Harv!$B$8:$AE$86,2,0)</f>
        <v>Md. Shohag</v>
      </c>
      <c r="D52" s="634" t="str">
        <f>VLOOKUP(B52,Harv!$B$8:$AE$86,3,0)</f>
        <v>Driver</v>
      </c>
      <c r="E52" s="634" t="str">
        <f>VLOOKUP(B52,Harv!$B$8:$AE$86,4,0)</f>
        <v>Tranport</v>
      </c>
      <c r="F52" s="635" t="str">
        <f>VLOOKUP(B52,Harv!$B$8:$AE$90,30,0)</f>
        <v>103.103.1311756</v>
      </c>
      <c r="G52" s="636">
        <f>VLOOKUP(B52,Harv!$B$8:$AE$90,28,0)</f>
        <v>16340</v>
      </c>
      <c r="I52" s="804"/>
      <c r="J52" s="562"/>
    </row>
    <row r="53" spans="1:10" s="417" customFormat="1" ht="24" customHeight="1">
      <c r="A53" s="808" t="s">
        <v>756</v>
      </c>
      <c r="B53" s="805" t="s">
        <v>135</v>
      </c>
      <c r="C53" s="633" t="str">
        <f>VLOOKUP(B53,Harv!$B$8:$AE$86,2,0)</f>
        <v>Md. Jahidul Islam</v>
      </c>
      <c r="D53" s="634" t="str">
        <f>VLOOKUP(B53,Harv!$B$8:$AE$86,3,0)</f>
        <v>Driver</v>
      </c>
      <c r="E53" s="634" t="str">
        <f>VLOOKUP(B53,Harv!$B$8:$AE$86,4,0)</f>
        <v>Transport</v>
      </c>
      <c r="F53" s="635" t="str">
        <f>VLOOKUP(B53,Harv!$B$8:$AE$90,30,0)</f>
        <v>318.103.0001945</v>
      </c>
      <c r="G53" s="636">
        <f>VLOOKUP(B53,Harv!$B$8:$AE$90,28,0)</f>
        <v>21340</v>
      </c>
      <c r="I53" s="804"/>
      <c r="J53" s="562"/>
    </row>
    <row r="54" spans="1:10" s="417" customFormat="1" ht="24" customHeight="1">
      <c r="A54" s="808" t="s">
        <v>757</v>
      </c>
      <c r="B54" s="805" t="s">
        <v>139</v>
      </c>
      <c r="C54" s="633" t="str">
        <f>VLOOKUP(B54,Harv!$B$8:$AE$86,2,0)</f>
        <v>Md. Hafizur Rahman</v>
      </c>
      <c r="D54" s="634" t="str">
        <f>VLOOKUP(B54,Harv!$B$8:$AE$86,3,0)</f>
        <v>Driver</v>
      </c>
      <c r="E54" s="634" t="str">
        <f>VLOOKUP(B54,Harv!$B$8:$AE$86,4,0)</f>
        <v>Transport</v>
      </c>
      <c r="F54" s="635" t="str">
        <f>VLOOKUP(B54,Harv!$B$8:$AE$90,30,0)</f>
        <v>227.157.0038826</v>
      </c>
      <c r="G54" s="636">
        <f>VLOOKUP(B54,Harv!$B$8:$AE$90,28,0)</f>
        <v>21340</v>
      </c>
      <c r="I54" s="804"/>
      <c r="J54" s="562"/>
    </row>
    <row r="55" spans="1:10" s="417" customFormat="1" ht="24" customHeight="1">
      <c r="A55" s="808" t="s">
        <v>758</v>
      </c>
      <c r="B55" s="805" t="s">
        <v>922</v>
      </c>
      <c r="C55" s="633" t="str">
        <f>VLOOKUP(B55,Harv!$B$8:$AE$86,2,0)</f>
        <v>Md Sayful Alam</v>
      </c>
      <c r="D55" s="634" t="str">
        <f>VLOOKUP(B55,Harv!$B$8:$AE$86,3,0)</f>
        <v>Lowbed Driver</v>
      </c>
      <c r="E55" s="634" t="str">
        <f>VLOOKUP(B55,Harv!$B$8:$AE$86,4,0)</f>
        <v>Transport</v>
      </c>
      <c r="F55" s="635" t="str">
        <f>VLOOKUP(B55,Harv!$B$8:$AE$90,30,0)</f>
        <v>127.158.0137621</v>
      </c>
      <c r="G55" s="636">
        <f>VLOOKUP(B55,Harv!$B$8:$AE$90,28,0)</f>
        <v>20370</v>
      </c>
      <c r="I55" s="804"/>
      <c r="J55" s="562"/>
    </row>
    <row r="56" spans="1:10" s="417" customFormat="1" ht="24" customHeight="1">
      <c r="A56" s="808" t="s">
        <v>759</v>
      </c>
      <c r="B56" s="805" t="s">
        <v>1207</v>
      </c>
      <c r="C56" s="633" t="str">
        <f>VLOOKUP(B56,Harv!$B$8:$AE$86,2,0)</f>
        <v>Md Aibul Ali</v>
      </c>
      <c r="D56" s="634" t="str">
        <f>VLOOKUP(B56,Harv!$B$8:$AE$86,3,0)</f>
        <v>Lowbed Driver</v>
      </c>
      <c r="E56" s="634" t="str">
        <f>VLOOKUP(B56,Harv!$B$8:$AE$86,4,0)</f>
        <v>Transport</v>
      </c>
      <c r="F56" s="635" t="str">
        <f>VLOOKUP(B56,Harv!$B$8:$AE$90,30,0)</f>
        <v>103.103.1421085</v>
      </c>
      <c r="G56" s="636">
        <f>VLOOKUP(B56,Harv!$B$8:$AE$90,28,0)</f>
        <v>20000</v>
      </c>
      <c r="I56" s="804"/>
      <c r="J56" s="562"/>
    </row>
    <row r="57" spans="1:10" s="417" customFormat="1" ht="24" customHeight="1">
      <c r="A57" s="808" t="s">
        <v>760</v>
      </c>
      <c r="B57" s="805" t="s">
        <v>320</v>
      </c>
      <c r="C57" s="633" t="str">
        <f>VLOOKUP(B57,Harv!$B$8:$AE$86,2,0)</f>
        <v>Sujal Chandra Mahanta</v>
      </c>
      <c r="D57" s="634" t="str">
        <f>VLOOKUP(B57,Harv!$B$8:$AE$86,3,0)</f>
        <v>Store Officer</v>
      </c>
      <c r="E57" s="634" t="str">
        <f>VLOOKUP(B57,Harv!$B$8:$AE$86,4,0)</f>
        <v>Store &amp; Logistics</v>
      </c>
      <c r="F57" s="635" t="str">
        <f>VLOOKUP(B57,Harv!$B$8:$AE$90,30,0)</f>
        <v>190.158.0008541</v>
      </c>
      <c r="G57" s="636">
        <f>VLOOKUP(B57,Harv!$B$8:$AE$90,28,0)</f>
        <v>27160</v>
      </c>
      <c r="I57" s="804"/>
      <c r="J57" s="562"/>
    </row>
    <row r="58" spans="1:10" s="417" customFormat="1" ht="24" customHeight="1">
      <c r="A58" s="808" t="s">
        <v>761</v>
      </c>
      <c r="B58" s="805" t="s">
        <v>326</v>
      </c>
      <c r="C58" s="633" t="str">
        <f>VLOOKUP(B58,Harv!$B$8:$AE$86,2,0)</f>
        <v>Md. Jamal Hossain</v>
      </c>
      <c r="D58" s="634" t="str">
        <f>VLOOKUP(B58,Harv!$B$8:$AE$86,3,0)</f>
        <v>Store Officer</v>
      </c>
      <c r="E58" s="634" t="str">
        <f>VLOOKUP(B58,Harv!$B$8:$AE$86,4,0)</f>
        <v>Store &amp; Logistics</v>
      </c>
      <c r="F58" s="635" t="str">
        <f>VLOOKUP(B58,Harv!$B$8:$AE$90,30,0)</f>
        <v>311.158.0003466</v>
      </c>
      <c r="G58" s="636">
        <f>VLOOKUP(B58,Harv!$B$8:$AE$90,28,0)</f>
        <v>27645</v>
      </c>
      <c r="I58" s="804"/>
      <c r="J58" s="562"/>
    </row>
    <row r="59" spans="1:10" s="417" customFormat="1" ht="24" customHeight="1">
      <c r="A59" s="808" t="s">
        <v>762</v>
      </c>
      <c r="B59" s="805" t="s">
        <v>335</v>
      </c>
      <c r="C59" s="633" t="str">
        <f>VLOOKUP(B59,Harv!$B$8:$AE$86,2,0)</f>
        <v>Rajah Ch. Datta</v>
      </c>
      <c r="D59" s="634" t="str">
        <f>VLOOKUP(B59,Harv!$B$8:$AE$86,3,0)</f>
        <v>Store Officer</v>
      </c>
      <c r="E59" s="634" t="str">
        <f>VLOOKUP(B59,Harv!$B$8:$AE$86,4,0)</f>
        <v>Store &amp; Logistics</v>
      </c>
      <c r="F59" s="635" t="str">
        <f>VLOOKUP(B59,Harv!$B$8:$AE$90,30,0)</f>
        <v>165.158.0013674</v>
      </c>
      <c r="G59" s="636">
        <f>VLOOKUP(B59,Harv!$B$8:$AE$90,28,0)</f>
        <v>26190</v>
      </c>
      <c r="I59" s="804"/>
      <c r="J59" s="562"/>
    </row>
    <row r="60" spans="1:10" s="417" customFormat="1" ht="24" customHeight="1">
      <c r="A60" s="808" t="s">
        <v>763</v>
      </c>
      <c r="B60" s="805" t="s">
        <v>345</v>
      </c>
      <c r="C60" s="633" t="str">
        <f>VLOOKUP(B60,Harv!$B$8:$AE$86,2,0)</f>
        <v>Mohammad Abul Bashar</v>
      </c>
      <c r="D60" s="634" t="str">
        <f>VLOOKUP(B60,Harv!$B$8:$AE$86,3,0)</f>
        <v>Manager</v>
      </c>
      <c r="E60" s="634" t="str">
        <f>VLOOKUP(B60,Harv!$B$8:$AE$86,4,0)</f>
        <v>Store &amp; Logistics</v>
      </c>
      <c r="F60" s="635" t="str">
        <f>VLOOKUP(B60,Harv!$B$8:$AE$90,30,0)</f>
        <v>103.103.0765960</v>
      </c>
      <c r="G60" s="636">
        <f>VLOOKUP(B60,Harv!$B$8:$AE$90,28,0)</f>
        <v>38570</v>
      </c>
      <c r="I60" s="804"/>
      <c r="J60" s="562"/>
    </row>
    <row r="61" spans="1:10" s="417" customFormat="1" ht="24" customHeight="1">
      <c r="A61" s="808" t="s">
        <v>764</v>
      </c>
      <c r="B61" s="805" t="s">
        <v>352</v>
      </c>
      <c r="C61" s="633" t="str">
        <f>VLOOKUP(B61,Harv!$B$8:$AE$86,2,0)</f>
        <v>Shahjaman</v>
      </c>
      <c r="D61" s="634" t="str">
        <f>VLOOKUP(B61,Harv!$B$8:$AE$86,3,0)</f>
        <v>Store Assistant</v>
      </c>
      <c r="E61" s="634" t="str">
        <f>VLOOKUP(B61,Harv!$B$8:$AE$86,4,0)</f>
        <v>Store &amp; Logistics</v>
      </c>
      <c r="F61" s="635" t="str">
        <f>VLOOKUP(B61,Harv!$B$8:$AE$90,30,0)</f>
        <v>242.105.0067809</v>
      </c>
      <c r="G61" s="636">
        <f>VLOOKUP(B61,Harv!$B$8:$AE$90,28,0)</f>
        <v>20855</v>
      </c>
      <c r="I61" s="804"/>
      <c r="J61" s="562"/>
    </row>
    <row r="62" spans="1:10" s="417" customFormat="1" ht="24" customHeight="1">
      <c r="A62" s="808" t="s">
        <v>765</v>
      </c>
      <c r="B62" s="805" t="s">
        <v>201</v>
      </c>
      <c r="C62" s="633" t="s">
        <v>202</v>
      </c>
      <c r="D62" s="634" t="s">
        <v>430</v>
      </c>
      <c r="E62" s="634" t="s">
        <v>203</v>
      </c>
      <c r="F62" s="635" t="str">
        <f>Ashfaq!AF8</f>
        <v>116.103.0831560</v>
      </c>
      <c r="G62" s="636">
        <f>Ashfaq!AF13</f>
        <v>127491</v>
      </c>
      <c r="I62" s="804"/>
      <c r="J62" s="562"/>
    </row>
    <row r="63" spans="1:10" s="417" customFormat="1" ht="24" customHeight="1">
      <c r="A63" s="808" t="s">
        <v>766</v>
      </c>
      <c r="B63" s="805" t="s">
        <v>384</v>
      </c>
      <c r="C63" s="633" t="s">
        <v>385</v>
      </c>
      <c r="D63" s="634" t="s">
        <v>386</v>
      </c>
      <c r="E63" s="634" t="s">
        <v>47</v>
      </c>
      <c r="F63" s="635" t="str">
        <f>'GM-Fin'!AF8</f>
        <v>103.103.1329107</v>
      </c>
      <c r="G63" s="636">
        <f ca="1">'GM-Fin'!AF16</f>
        <v>112535</v>
      </c>
      <c r="I63" s="804"/>
      <c r="J63" s="562"/>
    </row>
    <row r="64" spans="1:10" s="417" customFormat="1" ht="24" customHeight="1">
      <c r="A64" s="808" t="s">
        <v>767</v>
      </c>
      <c r="B64" s="805" t="s">
        <v>1120</v>
      </c>
      <c r="C64" s="633" t="s">
        <v>1814</v>
      </c>
      <c r="D64" s="634" t="s">
        <v>1121</v>
      </c>
      <c r="E64" s="634" t="s">
        <v>1815</v>
      </c>
      <c r="F64" s="635" t="str">
        <f>'CEO-R&amp;D'!AF8</f>
        <v>107.101.0044112</v>
      </c>
      <c r="G64" s="636">
        <f>'CEO-R&amp;D'!AF13</f>
        <v>128086</v>
      </c>
      <c r="I64" s="804"/>
      <c r="J64" s="562"/>
    </row>
    <row r="65" spans="1:12" s="417" customFormat="1" ht="24" customHeight="1">
      <c r="A65" s="1200" t="s">
        <v>421</v>
      </c>
      <c r="B65" s="1200"/>
      <c r="C65" s="1200"/>
      <c r="D65" s="1200"/>
      <c r="E65" s="1200"/>
      <c r="F65" s="418" t="s">
        <v>422</v>
      </c>
      <c r="G65" s="606">
        <f ca="1">SUM(G5:G64)</f>
        <v>2077351</v>
      </c>
      <c r="I65" s="804"/>
    </row>
    <row r="69" spans="1:12" ht="24.95" customHeight="1">
      <c r="L69" s="439"/>
    </row>
  </sheetData>
  <sortState xmlns:xlrd2="http://schemas.microsoft.com/office/spreadsheetml/2017/richdata2" ref="B8:G158">
    <sortCondition ref="B7"/>
  </sortState>
  <mergeCells count="2">
    <mergeCell ref="A65:E65"/>
    <mergeCell ref="A2:G2"/>
  </mergeCells>
  <conditionalFormatting sqref="B1:B1048576">
    <cfRule type="duplicateValues" dxfId="39" priority="1"/>
  </conditionalFormatting>
  <conditionalFormatting sqref="B5:B36">
    <cfRule type="duplicateValues" dxfId="38" priority="2317"/>
    <cfRule type="duplicateValues" dxfId="37" priority="2318"/>
    <cfRule type="duplicateValues" dxfId="36" priority="2321"/>
  </conditionalFormatting>
  <conditionalFormatting sqref="B37:B39">
    <cfRule type="duplicateValues" dxfId="35" priority="1801"/>
  </conditionalFormatting>
  <conditionalFormatting sqref="B40">
    <cfRule type="duplicateValues" dxfId="34" priority="715"/>
  </conditionalFormatting>
  <conditionalFormatting sqref="B41:B42">
    <cfRule type="duplicateValues" dxfId="33" priority="785"/>
  </conditionalFormatting>
  <conditionalFormatting sqref="B43">
    <cfRule type="duplicateValues" dxfId="32" priority="2349"/>
  </conditionalFormatting>
  <conditionalFormatting sqref="B44:B45">
    <cfRule type="duplicateValues" dxfId="31" priority="1445"/>
  </conditionalFormatting>
  <conditionalFormatting sqref="B46">
    <cfRule type="duplicateValues" dxfId="30" priority="14"/>
  </conditionalFormatting>
  <conditionalFormatting sqref="B47:B48">
    <cfRule type="duplicateValues" dxfId="29" priority="12"/>
  </conditionalFormatting>
  <conditionalFormatting sqref="B47:B51">
    <cfRule type="duplicateValues" dxfId="28" priority="1432"/>
  </conditionalFormatting>
  <conditionalFormatting sqref="B52">
    <cfRule type="duplicateValues" dxfId="27" priority="11"/>
  </conditionalFormatting>
  <conditionalFormatting sqref="B53:B54">
    <cfRule type="duplicateValues" dxfId="26" priority="1720"/>
  </conditionalFormatting>
  <conditionalFormatting sqref="B55:B61">
    <cfRule type="duplicateValues" dxfId="25" priority="2093"/>
  </conditionalFormatting>
  <conditionalFormatting sqref="B62:B64">
    <cfRule type="duplicateValues" dxfId="24" priority="2"/>
    <cfRule type="duplicateValues" dxfId="23" priority="3"/>
  </conditionalFormatting>
  <conditionalFormatting sqref="B65:B1048576 B1 B3:B4">
    <cfRule type="duplicateValues" dxfId="22" priority="37"/>
    <cfRule type="duplicateValues" dxfId="21" priority="38"/>
  </conditionalFormatting>
  <conditionalFormatting sqref="B65:B1048576 B1 B3:B36">
    <cfRule type="duplicateValues" dxfId="20" priority="1399"/>
  </conditionalFormatting>
  <conditionalFormatting sqref="B65:B1048576 B1:B61">
    <cfRule type="duplicateValues" dxfId="19" priority="4"/>
  </conditionalFormatting>
  <printOptions horizontalCentered="1"/>
  <pageMargins left="0.59055118110236227" right="0" top="1.1811023622047245" bottom="0.59055118110236227" header="0.51181102362204722" footer="0"/>
  <pageSetup paperSize="9" scale="8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CCFF66"/>
  </sheetPr>
  <dimension ref="A2:K35"/>
  <sheetViews>
    <sheetView view="pageBreakPreview" zoomScaleNormal="100" zoomScaleSheetLayoutView="100" workbookViewId="0">
      <selection activeCell="S18" sqref="S18"/>
    </sheetView>
  </sheetViews>
  <sheetFormatPr defaultColWidth="9.140625" defaultRowHeight="15"/>
  <cols>
    <col min="1" max="1" width="9.140625" style="1098"/>
    <col min="2" max="4" width="9.140625" style="1099"/>
    <col min="5" max="5" width="14.28515625" style="1099" customWidth="1"/>
    <col min="6" max="6" width="9.140625" style="1099"/>
    <col min="7" max="7" width="7.28515625" style="1099" customWidth="1"/>
    <col min="8" max="8" width="9.42578125" style="1099" customWidth="1"/>
    <col min="9" max="9" width="12.140625" style="1099" customWidth="1"/>
    <col min="10" max="10" width="9.140625" style="1099"/>
    <col min="11" max="11" width="13.28515625" style="1104" bestFit="1" customWidth="1"/>
    <col min="12" max="16384" width="9.140625" style="1099"/>
  </cols>
  <sheetData>
    <row r="2" spans="1:11" ht="33.75" customHeight="1"/>
    <row r="4" spans="1:11" ht="15.75">
      <c r="A4" s="1100" t="s">
        <v>1900</v>
      </c>
      <c r="H4" s="1101" t="s">
        <v>391</v>
      </c>
      <c r="I4" s="1106">
        <f>'Forwading-360'!I4</f>
        <v>45662</v>
      </c>
    </row>
    <row r="5" spans="1:11" ht="15.75">
      <c r="A5" s="1100"/>
    </row>
    <row r="6" spans="1:11" ht="18" customHeight="1">
      <c r="A6" s="1100" t="s">
        <v>392</v>
      </c>
    </row>
    <row r="7" spans="1:11" ht="18" customHeight="1">
      <c r="A7" s="1100" t="s">
        <v>393</v>
      </c>
    </row>
    <row r="8" spans="1:11" ht="18" customHeight="1">
      <c r="A8" s="1100" t="s">
        <v>877</v>
      </c>
    </row>
    <row r="9" spans="1:11" ht="18" customHeight="1">
      <c r="A9" s="1100" t="s">
        <v>394</v>
      </c>
    </row>
    <row r="10" spans="1:11" ht="15.75">
      <c r="A10" s="1100"/>
    </row>
    <row r="11" spans="1:11" ht="15.75">
      <c r="A11" s="1100"/>
    </row>
    <row r="12" spans="1:11" ht="28.5" customHeight="1">
      <c r="A12" s="1102" t="s">
        <v>395</v>
      </c>
      <c r="B12" s="1198" t="s">
        <v>1834</v>
      </c>
      <c r="C12" s="1198"/>
      <c r="D12" s="1198"/>
      <c r="E12" s="1198"/>
      <c r="F12" s="1198"/>
      <c r="G12" s="1198"/>
      <c r="H12" s="1198"/>
      <c r="I12" s="1198"/>
    </row>
    <row r="13" spans="1:11" ht="7.5" customHeight="1">
      <c r="A13" s="1100"/>
    </row>
    <row r="14" spans="1:11" ht="9" customHeight="1">
      <c r="A14" s="1100"/>
    </row>
    <row r="15" spans="1:11" ht="15.75">
      <c r="A15" s="1103" t="s">
        <v>396</v>
      </c>
    </row>
    <row r="16" spans="1:11" ht="15.75">
      <c r="A16" s="1100"/>
      <c r="K16" s="1104">
        <f>'Bank Sum-801'!G218</f>
        <v>6432033</v>
      </c>
    </row>
    <row r="17" spans="1:11" ht="114.75" customHeight="1">
      <c r="A17" s="1199" t="s">
        <v>1903</v>
      </c>
      <c r="B17" s="1199"/>
      <c r="C17" s="1199"/>
      <c r="D17" s="1199"/>
      <c r="E17" s="1199"/>
      <c r="F17" s="1199"/>
      <c r="G17" s="1199"/>
      <c r="H17" s="1199"/>
      <c r="I17" s="1199"/>
    </row>
    <row r="18" spans="1:11" ht="23.25">
      <c r="A18" s="1105"/>
      <c r="K18" s="1099" t="e">
        <f ca="1">[3]!SpellNumber(K16)</f>
        <v>#NAME?</v>
      </c>
    </row>
    <row r="19" spans="1:11" ht="15.75">
      <c r="A19" s="1100" t="s">
        <v>397</v>
      </c>
    </row>
    <row r="20" spans="1:11" ht="23.25">
      <c r="A20" s="1105"/>
    </row>
    <row r="21" spans="1:11" ht="15.75">
      <c r="A21" s="1100" t="s">
        <v>398</v>
      </c>
    </row>
    <row r="22" spans="1:11" ht="23.25">
      <c r="A22" s="1105"/>
    </row>
    <row r="23" spans="1:11" ht="15.75">
      <c r="A23" s="1100" t="s">
        <v>399</v>
      </c>
    </row>
    <row r="31" spans="1:11" ht="56.25" customHeight="1"/>
    <row r="35" spans="1:1" ht="15.75">
      <c r="A35" s="1100" t="s">
        <v>400</v>
      </c>
    </row>
  </sheetData>
  <mergeCells count="2">
    <mergeCell ref="B12:I12"/>
    <mergeCell ref="A17:I17"/>
  </mergeCells>
  <pageMargins left="0.78740157480314965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CCFF66"/>
  </sheetPr>
  <dimension ref="A4:J219"/>
  <sheetViews>
    <sheetView view="pageBreakPreview" zoomScale="90" zoomScaleNormal="100" zoomScaleSheetLayoutView="90" workbookViewId="0">
      <selection activeCell="W5" sqref="W5"/>
    </sheetView>
  </sheetViews>
  <sheetFormatPr defaultColWidth="9.140625" defaultRowHeight="15"/>
  <cols>
    <col min="1" max="1" width="5" style="351" customWidth="1"/>
    <col min="2" max="2" width="12.5703125" style="351" customWidth="1"/>
    <col min="3" max="3" width="22.85546875" style="351" customWidth="1"/>
    <col min="4" max="4" width="19.7109375" style="358" customWidth="1"/>
    <col min="5" max="5" width="15.7109375" style="358" customWidth="1"/>
    <col min="6" max="6" width="16.5703125" style="359" customWidth="1"/>
    <col min="7" max="7" width="13.140625" style="608" customWidth="1"/>
    <col min="8" max="8" width="9.140625" style="351"/>
    <col min="9" max="9" width="11.5703125" style="351" bestFit="1" customWidth="1"/>
    <col min="10" max="10" width="11.5703125" style="641" bestFit="1" customWidth="1"/>
    <col min="11" max="16384" width="9.140625" style="351"/>
  </cols>
  <sheetData>
    <row r="4" spans="1:10" ht="18">
      <c r="A4" s="1203" t="s">
        <v>1833</v>
      </c>
      <c r="B4" s="1203"/>
      <c r="C4" s="1203"/>
      <c r="D4" s="1203"/>
      <c r="E4" s="1203"/>
      <c r="F4" s="1203"/>
      <c r="G4" s="1203"/>
    </row>
    <row r="5" spans="1:10" ht="18.75" customHeight="1">
      <c r="A5" s="352"/>
      <c r="B5" s="352"/>
      <c r="C5" s="352"/>
      <c r="D5" s="353"/>
      <c r="E5" s="353"/>
      <c r="F5" s="354"/>
      <c r="G5" s="609"/>
    </row>
    <row r="6" spans="1:10" ht="28.5" customHeight="1" thickBot="1">
      <c r="A6" s="355" t="s">
        <v>3</v>
      </c>
      <c r="B6" s="355" t="s">
        <v>401</v>
      </c>
      <c r="C6" s="628" t="s">
        <v>402</v>
      </c>
      <c r="D6" s="355" t="s">
        <v>403</v>
      </c>
      <c r="E6" s="355" t="s">
        <v>404</v>
      </c>
      <c r="F6" s="355" t="s">
        <v>405</v>
      </c>
      <c r="G6" s="356" t="s">
        <v>41</v>
      </c>
    </row>
    <row r="7" spans="1:10" s="357" customFormat="1" ht="24" customHeight="1">
      <c r="A7" s="630" t="s">
        <v>406</v>
      </c>
      <c r="B7" s="509" t="s">
        <v>719</v>
      </c>
      <c r="C7" s="510" t="str">
        <f>VLOOKUP(B7,Tractor!$B$6:$AE$184,2,0)</f>
        <v>Nayem Iqbal</v>
      </c>
      <c r="D7" s="511" t="str">
        <f>VLOOKUP(B7,Tractor!$B$6:$AE$184,3,0)</f>
        <v>Accounts Officer</v>
      </c>
      <c r="E7" s="511" t="str">
        <f>VLOOKUP(B7,Tractor!$B$6:$AE$184,4,0)</f>
        <v>A&amp;F</v>
      </c>
      <c r="F7" s="635" t="str">
        <f>VLOOKUP(B7,Tractor!$B$6:$AE$184,30,0)</f>
        <v>171.158.0035517</v>
      </c>
      <c r="G7" s="516">
        <f>VLOOKUP(B7,Tractor!$B$6:$AE$184,28,0)</f>
        <v>22310</v>
      </c>
      <c r="I7" s="1214" t="s">
        <v>1184</v>
      </c>
      <c r="J7" s="1210">
        <f>SUM(G7:G152)</f>
        <v>4264768</v>
      </c>
    </row>
    <row r="8" spans="1:10" s="357" customFormat="1" ht="24" customHeight="1">
      <c r="A8" s="631" t="s">
        <v>407</v>
      </c>
      <c r="B8" s="632" t="s">
        <v>1288</v>
      </c>
      <c r="C8" s="633" t="str">
        <f>VLOOKUP(B8,Tractor!$B$6:$AE$184,2,0)</f>
        <v>Md Khorshed Alam</v>
      </c>
      <c r="D8" s="634" t="str">
        <f>VLOOKUP(B8,Tractor!$B$6:$AE$184,3,0)</f>
        <v>Accounts Officer</v>
      </c>
      <c r="E8" s="634" t="str">
        <f>VLOOKUP(B8,Tractor!$B$6:$AE$184,4,0)</f>
        <v>F&amp;A</v>
      </c>
      <c r="F8" s="635" t="str">
        <f>VLOOKUP(B8,Tractor!$B$6:$AE$184,30,0)</f>
        <v>163.103.0046521</v>
      </c>
      <c r="G8" s="636">
        <f>VLOOKUP(B8,Tractor!$B$6:$AE$184,28,0)</f>
        <v>29000</v>
      </c>
      <c r="I8" s="1208"/>
      <c r="J8" s="1211"/>
    </row>
    <row r="9" spans="1:10" s="357" customFormat="1" ht="24" customHeight="1">
      <c r="A9" s="631" t="s">
        <v>408</v>
      </c>
      <c r="B9" s="632" t="s">
        <v>1174</v>
      </c>
      <c r="C9" s="633" t="str">
        <f>VLOOKUP(B9,Tractor!$B$6:$AE$184,2,0)</f>
        <v>Md. Tahsinur Rahman</v>
      </c>
      <c r="D9" s="634" t="str">
        <f>VLOOKUP(B9,Tractor!$B$6:$AE$184,3,0)</f>
        <v>HR Officer</v>
      </c>
      <c r="E9" s="634" t="str">
        <f>VLOOKUP(B9,Tractor!$B$6:$AE$184,4,0)</f>
        <v>HR &amp; Admin</v>
      </c>
      <c r="F9" s="635" t="str">
        <f>VLOOKUP(B9,Tractor!$B$6:$AE$184,30,0)</f>
        <v>125.157.0043468</v>
      </c>
      <c r="G9" s="636">
        <f>VLOOKUP(B9,Tractor!$B$6:$AE$184,28,0)</f>
        <v>4786</v>
      </c>
      <c r="I9" s="1208"/>
      <c r="J9" s="1211"/>
    </row>
    <row r="10" spans="1:10" s="357" customFormat="1" ht="24" customHeight="1">
      <c r="A10" s="631" t="s">
        <v>409</v>
      </c>
      <c r="B10" s="632" t="s">
        <v>81</v>
      </c>
      <c r="C10" s="633" t="str">
        <f>VLOOKUP(B10,Tractor!$B$6:$AE$184,2,0)</f>
        <v>Md. Saheb Ali</v>
      </c>
      <c r="D10" s="634" t="str">
        <f>VLOOKUP(B10,Tractor!$B$6:$AE$184,3,0)</f>
        <v>Security Incharge</v>
      </c>
      <c r="E10" s="634" t="str">
        <f>VLOOKUP(B10,Tractor!$B$6:$AE$184,4,0)</f>
        <v>Admin</v>
      </c>
      <c r="F10" s="635" t="str">
        <f>VLOOKUP(B10,Tractor!$B$6:$AE$184,30,0)</f>
        <v>172.158.0055537</v>
      </c>
      <c r="G10" s="636">
        <f>VLOOKUP(B10,Tractor!$B$6:$AE$184,28,0)</f>
        <v>17460</v>
      </c>
      <c r="I10" s="1208"/>
      <c r="J10" s="1211"/>
    </row>
    <row r="11" spans="1:10" s="357" customFormat="1" ht="24" customHeight="1">
      <c r="A11" s="631" t="s">
        <v>410</v>
      </c>
      <c r="B11" s="632" t="s">
        <v>1361</v>
      </c>
      <c r="C11" s="633" t="str">
        <f>VLOOKUP(B11,Tractor!$B$6:$AE$184,2,0)</f>
        <v>Md Bilash Hossain</v>
      </c>
      <c r="D11" s="634" t="str">
        <f>VLOOKUP(B11,Tractor!$B$6:$AE$184,3,0)</f>
        <v>Office Assistant</v>
      </c>
      <c r="E11" s="634" t="str">
        <f>VLOOKUP(B11,Tractor!$B$6:$AE$184,4,0)</f>
        <v>Admin</v>
      </c>
      <c r="F11" s="635" t="str">
        <f>VLOOKUP(B11,Tractor!$B$6:$AE$184,30,0)</f>
        <v>103.103.1404327</v>
      </c>
      <c r="G11" s="636">
        <f>VLOOKUP(B11,Tractor!$B$6:$AE$184,28,0)</f>
        <v>19000</v>
      </c>
      <c r="H11" s="357" t="s">
        <v>1359</v>
      </c>
      <c r="I11" s="1208"/>
      <c r="J11" s="1211"/>
    </row>
    <row r="12" spans="1:10" s="357" customFormat="1" ht="24" customHeight="1">
      <c r="A12" s="631" t="s">
        <v>411</v>
      </c>
      <c r="B12" s="632" t="s">
        <v>1449</v>
      </c>
      <c r="C12" s="633" t="str">
        <f>VLOOKUP(B12,Tractor!$B$6:$AE$184,2,0)</f>
        <v>Khan Sadat Anwar</v>
      </c>
      <c r="D12" s="634" t="str">
        <f>VLOOKUP(B12,Tractor!$B$6:$AE$184,3,0)</f>
        <v>Consultant</v>
      </c>
      <c r="E12" s="634" t="str">
        <f>VLOOKUP(B12,Tractor!$B$6:$AE$184,4,0)</f>
        <v>HR &amp; Admin</v>
      </c>
      <c r="F12" s="635" t="str">
        <f>VLOOKUP(B12,Tractor!$B$6:$AE$184,30,0)</f>
        <v>103.103.1404348</v>
      </c>
      <c r="G12" s="636">
        <f>VLOOKUP(B12,Tractor!$B$6:$AE$184,28,0)</f>
        <v>139374</v>
      </c>
      <c r="I12" s="1208"/>
      <c r="J12" s="1211"/>
    </row>
    <row r="13" spans="1:10" s="357" customFormat="1" ht="24" customHeight="1">
      <c r="A13" s="631" t="s">
        <v>412</v>
      </c>
      <c r="B13" s="637" t="s">
        <v>257</v>
      </c>
      <c r="C13" s="633" t="str">
        <f>VLOOKUP(B13,Tractor!$B$6:$AE$184,2,0)</f>
        <v>Md. Sabbir Rahman</v>
      </c>
      <c r="D13" s="634" t="str">
        <f>VLOOKUP(B13,Tractor!$B$6:$AE$184,3,0)</f>
        <v>Manager</v>
      </c>
      <c r="E13" s="634" t="str">
        <f>VLOOKUP(B13,Tractor!$B$6:$AE$184,4,0)</f>
        <v>Int. Business</v>
      </c>
      <c r="F13" s="635" t="str">
        <f>VLOOKUP(B13,Tractor!$B$6:$AE$184,30,0)</f>
        <v>141.105.0029903</v>
      </c>
      <c r="G13" s="636">
        <f>VLOOKUP(B13,Tractor!$B$6:$AE$184,28,0)</f>
        <v>70358</v>
      </c>
      <c r="I13" s="1208"/>
      <c r="J13" s="1211"/>
    </row>
    <row r="14" spans="1:10" s="357" customFormat="1" ht="24" customHeight="1">
      <c r="A14" s="631" t="s">
        <v>413</v>
      </c>
      <c r="B14" s="637" t="s">
        <v>1166</v>
      </c>
      <c r="C14" s="633" t="str">
        <f>VLOOKUP(B14,Tractor!$B$6:$AE$184,2,0)</f>
        <v>Md Asaduzzaman Sagor</v>
      </c>
      <c r="D14" s="634" t="str">
        <f>VLOOKUP(B14,Tractor!$B$6:$AE$184,3,0)</f>
        <v>Jr. Engineer</v>
      </c>
      <c r="E14" s="634" t="str">
        <f>VLOOKUP(B14,Tractor!$B$6:$AE$184,4,0)</f>
        <v>R &amp; D</v>
      </c>
      <c r="F14" s="635" t="str">
        <f>VLOOKUP(B14,Tractor!$B$6:$AE$184,30,0)</f>
        <v>103.103.1392450</v>
      </c>
      <c r="G14" s="636">
        <f>VLOOKUP(B14,Tractor!$B$6:$AE$184,28,0)</f>
        <v>25000</v>
      </c>
      <c r="I14" s="1208"/>
      <c r="J14" s="1211"/>
    </row>
    <row r="15" spans="1:10" s="357" customFormat="1" ht="24" customHeight="1">
      <c r="A15" s="631" t="s">
        <v>414</v>
      </c>
      <c r="B15" s="632" t="s">
        <v>268</v>
      </c>
      <c r="C15" s="633" t="str">
        <f>VLOOKUP(B15,Tractor!$B$6:$AE$184,2,0)</f>
        <v>Md. Monir Hossain</v>
      </c>
      <c r="D15" s="634" t="str">
        <f>VLOOKUP(B15,Tractor!$B$6:$AE$184,3,0)</f>
        <v>Sr. Executive</v>
      </c>
      <c r="E15" s="634" t="str">
        <f>VLOOKUP(B15,Tractor!$B$6:$AE$184,4,0)</f>
        <v>S&amp;M</v>
      </c>
      <c r="F15" s="635" t="str">
        <f>VLOOKUP(B15,Tractor!$B$6:$AE$184,30,0)</f>
        <v>119.101.0125409</v>
      </c>
      <c r="G15" s="636">
        <f>VLOOKUP(B15,Tractor!$B$6:$AE$184,28,0)</f>
        <v>28725</v>
      </c>
      <c r="I15" s="1208"/>
      <c r="J15" s="1211"/>
    </row>
    <row r="16" spans="1:10" s="357" customFormat="1" ht="24" customHeight="1">
      <c r="A16" s="631" t="s">
        <v>415</v>
      </c>
      <c r="B16" s="632" t="s">
        <v>181</v>
      </c>
      <c r="C16" s="633" t="str">
        <f>VLOOKUP(B16,Tractor!$B$6:$AE$184,2,0)</f>
        <v>Md. Shariful Islam</v>
      </c>
      <c r="D16" s="634" t="str">
        <f>VLOOKUP(B16,Tractor!$B$6:$AE$184,3,0)</f>
        <v>Jr. Mechanic</v>
      </c>
      <c r="E16" s="634" t="str">
        <f>VLOOKUP(B16,Tractor!$B$6:$AE$184,4,0)</f>
        <v>Technical</v>
      </c>
      <c r="F16" s="635" t="str">
        <f>VLOOKUP(B16,Tractor!$B$6:$AE$184,30,0)</f>
        <v>172.158.0055521</v>
      </c>
      <c r="G16" s="636">
        <f>VLOOKUP(B16,Tractor!$B$6:$AE$184,28,0)</f>
        <v>17945</v>
      </c>
      <c r="I16" s="1208"/>
      <c r="J16" s="1211"/>
    </row>
    <row r="17" spans="1:10" s="357" customFormat="1" ht="24" customHeight="1">
      <c r="A17" s="631" t="s">
        <v>416</v>
      </c>
      <c r="B17" s="632" t="s">
        <v>197</v>
      </c>
      <c r="C17" s="633" t="str">
        <f>VLOOKUP(B17,Tractor!$B$6:$AE$184,2,0)</f>
        <v>Md. Razib Rony</v>
      </c>
      <c r="D17" s="634" t="str">
        <f>VLOOKUP(B17,Tractor!$B$6:$AE$184,3,0)</f>
        <v>Sr. Mechanic</v>
      </c>
      <c r="E17" s="634" t="str">
        <f>VLOOKUP(B17,Tractor!$B$6:$AE$184,4,0)</f>
        <v>Technical</v>
      </c>
      <c r="F17" s="635" t="str">
        <f>VLOOKUP(B17,Tractor!$B$6:$AE$184,30,0)</f>
        <v>172.151.0086481</v>
      </c>
      <c r="G17" s="636">
        <f>VLOOKUP(B17,Tractor!$B$6:$AE$184,28,0)</f>
        <v>22438</v>
      </c>
      <c r="I17" s="1208"/>
      <c r="J17" s="1211"/>
    </row>
    <row r="18" spans="1:10" s="357" customFormat="1" ht="24" customHeight="1">
      <c r="A18" s="631" t="s">
        <v>417</v>
      </c>
      <c r="B18" s="632" t="s">
        <v>525</v>
      </c>
      <c r="C18" s="633" t="str">
        <f>VLOOKUP(B18,Tractor!$B$6:$AE$184,2,0)</f>
        <v>Shahadatul Islam</v>
      </c>
      <c r="D18" s="634" t="str">
        <f>VLOOKUP(B18,Tractor!$B$6:$AE$184,3,0)</f>
        <v>Jr. Mechanic</v>
      </c>
      <c r="E18" s="634" t="str">
        <f>VLOOKUP(B18,Tractor!$B$6:$AE$184,4,0)</f>
        <v>Technical</v>
      </c>
      <c r="F18" s="635" t="str">
        <f>VLOOKUP(B18,Tractor!$B$6:$AE$184,30,0)</f>
        <v>135.151.0419990</v>
      </c>
      <c r="G18" s="636">
        <f>VLOOKUP(B18,Tractor!$B$6:$AE$184,28,0)</f>
        <v>15859</v>
      </c>
      <c r="I18" s="1208"/>
      <c r="J18" s="1211"/>
    </row>
    <row r="19" spans="1:10" s="357" customFormat="1" ht="24" customHeight="1">
      <c r="A19" s="631" t="s">
        <v>418</v>
      </c>
      <c r="B19" s="632" t="s">
        <v>527</v>
      </c>
      <c r="C19" s="633" t="str">
        <f>VLOOKUP(B19,Tractor!$B$6:$AE$184,2,0)</f>
        <v>Md. Gulzar Islam</v>
      </c>
      <c r="D19" s="634" t="str">
        <f>VLOOKUP(B19,Tractor!$B$6:$AE$184,3,0)</f>
        <v>Mechanic</v>
      </c>
      <c r="E19" s="634" t="str">
        <f>VLOOKUP(B19,Tractor!$B$6:$AE$184,4,0)</f>
        <v>Technical</v>
      </c>
      <c r="F19" s="635" t="str">
        <f>VLOOKUP(B19,Tractor!$B$6:$AE$184,30,0)</f>
        <v>172.107.0024413</v>
      </c>
      <c r="G19" s="636">
        <f>VLOOKUP(B19,Tractor!$B$6:$AE$184,28,0)</f>
        <v>19534</v>
      </c>
      <c r="I19" s="1208"/>
      <c r="J19" s="1211"/>
    </row>
    <row r="20" spans="1:10" s="357" customFormat="1" ht="24" customHeight="1">
      <c r="A20" s="631" t="s">
        <v>419</v>
      </c>
      <c r="B20" s="632" t="s">
        <v>565</v>
      </c>
      <c r="C20" s="633" t="str">
        <f>VLOOKUP(B20,Tractor!$B$6:$AE$184,2,0)</f>
        <v>Md. Arif</v>
      </c>
      <c r="D20" s="634" t="str">
        <f>VLOOKUP(B20,Tractor!$B$6:$AE$184,3,0)</f>
        <v>Mechanic</v>
      </c>
      <c r="E20" s="634" t="str">
        <f>VLOOKUP(B20,Tractor!$B$6:$AE$184,4,0)</f>
        <v>Technical</v>
      </c>
      <c r="F20" s="635" t="str">
        <f>VLOOKUP(B20,Tractor!$B$6:$AE$184,30,0)</f>
        <v>163.158.0019170</v>
      </c>
      <c r="G20" s="636">
        <f>VLOOKUP(B20,Tractor!$B$6:$AE$184,28,0)</f>
        <v>18855</v>
      </c>
      <c r="I20" s="1208"/>
      <c r="J20" s="1211"/>
    </row>
    <row r="21" spans="1:10" s="357" customFormat="1" ht="24" customHeight="1">
      <c r="A21" s="631" t="s">
        <v>420</v>
      </c>
      <c r="B21" s="632" t="s">
        <v>617</v>
      </c>
      <c r="C21" s="633" t="str">
        <f>VLOOKUP(B21,Tractor!$B$6:$AE$184,2,0)</f>
        <v>Md. Niem Hosen</v>
      </c>
      <c r="D21" s="634" t="str">
        <f>VLOOKUP(B21,Tractor!$B$6:$AE$184,3,0)</f>
        <v>Mechanic</v>
      </c>
      <c r="E21" s="634" t="str">
        <f>VLOOKUP(B21,Tractor!$B$6:$AE$184,4,0)</f>
        <v>Technical</v>
      </c>
      <c r="F21" s="635" t="str">
        <f>VLOOKUP(B21,Tractor!$B$6:$AE$184,30,0)</f>
        <v>163.152.0003449</v>
      </c>
      <c r="G21" s="636">
        <f>VLOOKUP(B21,Tractor!$B$6:$AE$184,28,0)</f>
        <v>22310</v>
      </c>
      <c r="I21" s="1208"/>
      <c r="J21" s="1211"/>
    </row>
    <row r="22" spans="1:10" s="357" customFormat="1" ht="24" customHeight="1">
      <c r="A22" s="631" t="s">
        <v>724</v>
      </c>
      <c r="B22" s="632" t="s">
        <v>656</v>
      </c>
      <c r="C22" s="633" t="str">
        <f>VLOOKUP(B22,Tractor!$B$6:$AE$184,2,0)</f>
        <v>Uttam Devnath</v>
      </c>
      <c r="D22" s="634" t="str">
        <f>VLOOKUP(B22,Tractor!$B$6:$AE$184,3,0)</f>
        <v>Mechanic</v>
      </c>
      <c r="E22" s="634" t="str">
        <f>VLOOKUP(B22,Tractor!$B$6:$AE$184,4,0)</f>
        <v>Technical</v>
      </c>
      <c r="F22" s="635" t="str">
        <f>VLOOKUP(B22,Tractor!$B$6:$AE$184,30,0)</f>
        <v>263.158.0007366</v>
      </c>
      <c r="G22" s="636">
        <f>VLOOKUP(B22,Tractor!$B$6:$AE$184,28,0)</f>
        <v>18564</v>
      </c>
      <c r="I22" s="1208"/>
      <c r="J22" s="1211"/>
    </row>
    <row r="23" spans="1:10" s="357" customFormat="1" ht="24" customHeight="1">
      <c r="A23" s="631" t="s">
        <v>725</v>
      </c>
      <c r="B23" s="632" t="s">
        <v>637</v>
      </c>
      <c r="C23" s="633" t="str">
        <f>VLOOKUP(B23,Tractor!$B$6:$AE$184,2,0)</f>
        <v>Md Balal Hossain</v>
      </c>
      <c r="D23" s="634" t="str">
        <f>VLOOKUP(B23,Tractor!$B$6:$AE$184,3,0)</f>
        <v>Asst. Mechanic</v>
      </c>
      <c r="E23" s="634" t="str">
        <f>VLOOKUP(B23,Tractor!$B$6:$AE$184,4,0)</f>
        <v>Technical</v>
      </c>
      <c r="F23" s="635" t="str">
        <f>VLOOKUP(B23,Tractor!$B$6:$AE$184,30,0)</f>
        <v>103.103.0874710</v>
      </c>
      <c r="G23" s="636">
        <f>VLOOKUP(B23,Tractor!$B$6:$AE$184,28,0)</f>
        <v>14975</v>
      </c>
      <c r="I23" s="1208"/>
      <c r="J23" s="1211"/>
    </row>
    <row r="24" spans="1:10" s="357" customFormat="1" ht="24" customHeight="1">
      <c r="A24" s="631" t="s">
        <v>726</v>
      </c>
      <c r="B24" s="632" t="s">
        <v>696</v>
      </c>
      <c r="C24" s="633" t="str">
        <f>VLOOKUP(B24,Tractor!$B$6:$AE$184,2,0)</f>
        <v>Md Tahmedur Rahman</v>
      </c>
      <c r="D24" s="634" t="str">
        <f>VLOOKUP(B24,Tractor!$B$6:$AE$184,3,0)</f>
        <v>Asst. Mechanic</v>
      </c>
      <c r="E24" s="634" t="str">
        <f>VLOOKUP(B24,Tractor!$B$6:$AE$184,4,0)</f>
        <v>Technical</v>
      </c>
      <c r="F24" s="635" t="str">
        <f>VLOOKUP(B24,Tractor!$B$6:$AE$184,30,0)</f>
        <v>162.158.0101443</v>
      </c>
      <c r="G24" s="636">
        <f>VLOOKUP(B24,Tractor!$B$6:$AE$184,28,0)</f>
        <v>12845</v>
      </c>
      <c r="I24" s="1208"/>
      <c r="J24" s="1211"/>
    </row>
    <row r="25" spans="1:10" s="357" customFormat="1" ht="24" customHeight="1">
      <c r="A25" s="631" t="s">
        <v>727</v>
      </c>
      <c r="B25" s="632" t="s">
        <v>864</v>
      </c>
      <c r="C25" s="633" t="str">
        <f>VLOOKUP(B25,Tractor!$B$6:$AE$184,2,0)</f>
        <v>Md Sobuj Mondal</v>
      </c>
      <c r="D25" s="634" t="str">
        <f>VLOOKUP(B25,Tractor!$B$6:$AE$184,3,0)</f>
        <v>Sr. Mechanic</v>
      </c>
      <c r="E25" s="634" t="str">
        <f>VLOOKUP(B25,Tractor!$B$6:$AE$184,4,0)</f>
        <v>Technical</v>
      </c>
      <c r="F25" s="635" t="str">
        <f>VLOOKUP(B25,Tractor!$B$6:$AE$184,30,0)</f>
        <v>163.158.0086001</v>
      </c>
      <c r="G25" s="636">
        <f>VLOOKUP(B25,Tractor!$B$6:$AE$184,28,0)</f>
        <v>23959</v>
      </c>
      <c r="I25" s="1208"/>
      <c r="J25" s="1211"/>
    </row>
    <row r="26" spans="1:10" s="357" customFormat="1" ht="24" customHeight="1">
      <c r="A26" s="631" t="s">
        <v>728</v>
      </c>
      <c r="B26" s="632" t="s">
        <v>866</v>
      </c>
      <c r="C26" s="633" t="str">
        <f>VLOOKUP(B26,Tractor!$B$6:$AE$184,2,0)</f>
        <v>Byron Sarkar</v>
      </c>
      <c r="D26" s="634" t="str">
        <f>VLOOKUP(B26,Tractor!$B$6:$AE$184,3,0)</f>
        <v>Mechanic</v>
      </c>
      <c r="E26" s="634" t="str">
        <f>VLOOKUP(B26,Tractor!$B$6:$AE$184,4,0)</f>
        <v>Technical</v>
      </c>
      <c r="F26" s="635" t="str">
        <f>VLOOKUP(B26,Tractor!$B$6:$AE$184,30,0)</f>
        <v>156.158.0097461</v>
      </c>
      <c r="G26" s="636">
        <f>VLOOKUP(B26,Tractor!$B$6:$AE$184,28,0)</f>
        <v>20370</v>
      </c>
      <c r="I26" s="1208"/>
      <c r="J26" s="1211"/>
    </row>
    <row r="27" spans="1:10" s="357" customFormat="1" ht="24" customHeight="1">
      <c r="A27" s="631" t="s">
        <v>729</v>
      </c>
      <c r="B27" s="637" t="s">
        <v>868</v>
      </c>
      <c r="C27" s="633" t="str">
        <f>VLOOKUP(B27,Tractor!$B$6:$AE$184,2,0)</f>
        <v>Modhu Sudhan Dev Sharma</v>
      </c>
      <c r="D27" s="634" t="str">
        <f>VLOOKUP(B27,Tractor!$B$6:$AE$184,3,0)</f>
        <v>Mechanic</v>
      </c>
      <c r="E27" s="634" t="str">
        <f>VLOOKUP(B27,Tractor!$B$6:$AE$184,4,0)</f>
        <v>Technical</v>
      </c>
      <c r="F27" s="635" t="str">
        <f>VLOOKUP(B27,Tractor!$B$6:$AE$184,30,0)</f>
        <v>172.158.0077884</v>
      </c>
      <c r="G27" s="636">
        <f>VLOOKUP(B27,Tractor!$B$6:$AE$184,28,0)</f>
        <v>20407</v>
      </c>
      <c r="I27" s="1208"/>
      <c r="J27" s="1211"/>
    </row>
    <row r="28" spans="1:10" s="357" customFormat="1" ht="24" customHeight="1">
      <c r="A28" s="631" t="s">
        <v>730</v>
      </c>
      <c r="B28" s="637" t="s">
        <v>903</v>
      </c>
      <c r="C28" s="633" t="str">
        <f>VLOOKUP(B28,Tractor!$B$6:$AE$184,2,0)</f>
        <v>Md Rabbi Hossain</v>
      </c>
      <c r="D28" s="634" t="str">
        <f>VLOOKUP(B28,Tractor!$B$6:$AE$184,3,0)</f>
        <v>Mechanic</v>
      </c>
      <c r="E28" s="634" t="str">
        <f>VLOOKUP(B28,Tractor!$B$6:$AE$184,4,0)</f>
        <v>Technical</v>
      </c>
      <c r="F28" s="635" t="str">
        <f>VLOOKUP(B28,Tractor!$B$6:$AE$184,30,0)</f>
        <v>135.158.0003415</v>
      </c>
      <c r="G28" s="636">
        <f>VLOOKUP(B28,Tractor!$B$6:$AE$184,28,0)</f>
        <v>21340</v>
      </c>
      <c r="I28" s="1208"/>
      <c r="J28" s="1211"/>
    </row>
    <row r="29" spans="1:10" s="357" customFormat="1" ht="24" customHeight="1">
      <c r="A29" s="631" t="s">
        <v>731</v>
      </c>
      <c r="B29" s="632" t="s">
        <v>910</v>
      </c>
      <c r="C29" s="633" t="str">
        <f>VLOOKUP(B29,Tractor!$B$6:$AE$184,2,0)</f>
        <v>Md Monir Hossain</v>
      </c>
      <c r="D29" s="634" t="str">
        <f>VLOOKUP(B29,Tractor!$B$6:$AE$184,3,0)</f>
        <v>Mechanic</v>
      </c>
      <c r="E29" s="634" t="str">
        <f>VLOOKUP(B29,Tractor!$B$6:$AE$184,4,0)</f>
        <v>Technical</v>
      </c>
      <c r="F29" s="635" t="str">
        <f>VLOOKUP(B29,Tractor!$B$6:$AE$184,30,0)</f>
        <v>176.103.0059883</v>
      </c>
      <c r="G29" s="636">
        <f>VLOOKUP(B29,Tractor!$B$6:$AE$184,28,0)</f>
        <v>18855</v>
      </c>
      <c r="I29" s="1208"/>
      <c r="J29" s="1211"/>
    </row>
    <row r="30" spans="1:10" s="357" customFormat="1" ht="24" customHeight="1">
      <c r="A30" s="631" t="s">
        <v>732</v>
      </c>
      <c r="B30" s="632" t="s">
        <v>916</v>
      </c>
      <c r="C30" s="633" t="str">
        <f>VLOOKUP(B30,Tractor!$B$6:$AE$184,2,0)</f>
        <v>Babul Miah</v>
      </c>
      <c r="D30" s="634" t="str">
        <f>VLOOKUP(B30,Tractor!$B$6:$AE$184,3,0)</f>
        <v>Mechanic</v>
      </c>
      <c r="E30" s="634" t="str">
        <f>VLOOKUP(B30,Tractor!$B$6:$AE$184,4,0)</f>
        <v>Technical</v>
      </c>
      <c r="F30" s="635" t="str">
        <f>VLOOKUP(B30,Tractor!$B$6:$AE$184,30,0)</f>
        <v>194.158.0038755</v>
      </c>
      <c r="G30" s="636">
        <f>VLOOKUP(B30,Tractor!$B$6:$AE$184,28,0)</f>
        <v>19400</v>
      </c>
      <c r="I30" s="1208"/>
      <c r="J30" s="1211"/>
    </row>
    <row r="31" spans="1:10" s="357" customFormat="1" ht="24" customHeight="1">
      <c r="A31" s="631" t="s">
        <v>733</v>
      </c>
      <c r="B31" s="637" t="s">
        <v>918</v>
      </c>
      <c r="C31" s="633" t="str">
        <f>VLOOKUP(B31,Tractor!$B$6:$AE$184,2,0)</f>
        <v>Md Raihan Hossain</v>
      </c>
      <c r="D31" s="634" t="str">
        <f>VLOOKUP(B31,Tractor!$B$6:$AE$184,3,0)</f>
        <v>Mechanic</v>
      </c>
      <c r="E31" s="634" t="str">
        <f>VLOOKUP(B31,Tractor!$B$6:$AE$184,4,0)</f>
        <v>Technical</v>
      </c>
      <c r="F31" s="635" t="str">
        <f>VLOOKUP(B31,Tractor!$B$6:$AE$184,30,0)</f>
        <v>248.158.0071471</v>
      </c>
      <c r="G31" s="636">
        <f>VLOOKUP(B31,Tractor!$B$6:$AE$184,28,0)</f>
        <v>16430</v>
      </c>
      <c r="I31" s="1208"/>
      <c r="J31" s="1211"/>
    </row>
    <row r="32" spans="1:10" s="357" customFormat="1" ht="24" customHeight="1">
      <c r="A32" s="631" t="s">
        <v>734</v>
      </c>
      <c r="B32" s="637" t="s">
        <v>931</v>
      </c>
      <c r="C32" s="633" t="str">
        <f>VLOOKUP(B32,Tractor!$B$6:$AE$184,2,0)</f>
        <v>Md Nishad Hossain</v>
      </c>
      <c r="D32" s="634" t="str">
        <f>VLOOKUP(B32,Tractor!$B$6:$AE$184,3,0)</f>
        <v>Mechanic</v>
      </c>
      <c r="E32" s="634" t="str">
        <f>VLOOKUP(B32,Tractor!$B$6:$AE$184,4,0)</f>
        <v>Technical</v>
      </c>
      <c r="F32" s="635" t="str">
        <f>VLOOKUP(B32,Tractor!$B$6:$AE$184,30,0)</f>
        <v>103.103.1361939</v>
      </c>
      <c r="G32" s="636">
        <f>VLOOKUP(B32,Tractor!$B$6:$AE$184,28,0)</f>
        <v>17460</v>
      </c>
      <c r="I32" s="1208"/>
      <c r="J32" s="1211"/>
    </row>
    <row r="33" spans="1:10" s="357" customFormat="1" ht="24" customHeight="1">
      <c r="A33" s="631" t="s">
        <v>735</v>
      </c>
      <c r="B33" s="637" t="s">
        <v>960</v>
      </c>
      <c r="C33" s="633" t="str">
        <f>VLOOKUP(B33,Tractor!$B$6:$AE$184,2,0)</f>
        <v>Polash Chandro Roy</v>
      </c>
      <c r="D33" s="634" t="str">
        <f>VLOOKUP(B33,Tractor!$B$6:$AE$184,3,0)</f>
        <v>Mechanic</v>
      </c>
      <c r="E33" s="634" t="str">
        <f>VLOOKUP(B33,Tractor!$B$6:$AE$184,4,0)</f>
        <v>Technical</v>
      </c>
      <c r="F33" s="635" t="str">
        <f>VLOOKUP(B33,Tractor!$B$6:$AE$184,30,0)</f>
        <v>103.103.1155200</v>
      </c>
      <c r="G33" s="636">
        <f>VLOOKUP(B33,Tractor!$B$6:$AE$184,28,0)</f>
        <v>17460</v>
      </c>
      <c r="I33" s="1208"/>
      <c r="J33" s="1211"/>
    </row>
    <row r="34" spans="1:10" s="357" customFormat="1" ht="24" customHeight="1">
      <c r="A34" s="631" t="s">
        <v>736</v>
      </c>
      <c r="B34" s="637" t="s">
        <v>962</v>
      </c>
      <c r="C34" s="633" t="str">
        <f>VLOOKUP(B34,Tractor!$B$6:$AE$184,2,0)</f>
        <v>Md Harun Ur Rosud</v>
      </c>
      <c r="D34" s="634" t="str">
        <f>VLOOKUP(B34,Tractor!$B$6:$AE$184,3,0)</f>
        <v>Mechanic</v>
      </c>
      <c r="E34" s="634" t="str">
        <f>VLOOKUP(B34,Tractor!$B$6:$AE$184,4,0)</f>
        <v>Technical</v>
      </c>
      <c r="F34" s="635" t="str">
        <f>VLOOKUP(B34,Tractor!$B$6:$AE$184,30,0)</f>
        <v>172.105.0145453</v>
      </c>
      <c r="G34" s="636">
        <f>VLOOKUP(B34,Tractor!$B$6:$AE$184,28,0)</f>
        <v>18338</v>
      </c>
      <c r="I34" s="1208"/>
      <c r="J34" s="1211"/>
    </row>
    <row r="35" spans="1:10" s="357" customFormat="1" ht="24" customHeight="1">
      <c r="A35" s="631" t="s">
        <v>737</v>
      </c>
      <c r="B35" s="637" t="s">
        <v>964</v>
      </c>
      <c r="C35" s="633" t="str">
        <f>VLOOKUP(B35,Tractor!$B$6:$AE$184,2,0)</f>
        <v>Md Abdul Barek</v>
      </c>
      <c r="D35" s="634" t="str">
        <f>VLOOKUP(B35,Tractor!$B$6:$AE$184,3,0)</f>
        <v>Mechanic</v>
      </c>
      <c r="E35" s="634" t="str">
        <f>VLOOKUP(B35,Tractor!$B$6:$AE$184,4,0)</f>
        <v>Technical</v>
      </c>
      <c r="F35" s="635" t="str">
        <f>VLOOKUP(B35,Tractor!$B$6:$AE$184,30,0)</f>
        <v>103.103.1360786</v>
      </c>
      <c r="G35" s="636">
        <f>VLOOKUP(B35,Tractor!$B$6:$AE$184,28,0)</f>
        <v>18370</v>
      </c>
      <c r="I35" s="1208"/>
      <c r="J35" s="1211"/>
    </row>
    <row r="36" spans="1:10" s="357" customFormat="1" ht="24" customHeight="1">
      <c r="A36" s="631" t="s">
        <v>715</v>
      </c>
      <c r="B36" s="637" t="s">
        <v>1083</v>
      </c>
      <c r="C36" s="633" t="str">
        <f>VLOOKUP(B36,Tractor!$B$6:$AE$184,2,0)</f>
        <v>Md Bipul Pramanik</v>
      </c>
      <c r="D36" s="634" t="str">
        <f>VLOOKUP(B36,Tractor!$B$6:$AE$184,3,0)</f>
        <v>Mechanic</v>
      </c>
      <c r="E36" s="634" t="str">
        <f>VLOOKUP(B36,Tractor!$B$6:$AE$184,4,0)</f>
        <v>Technical</v>
      </c>
      <c r="F36" s="635" t="str">
        <f>VLOOKUP(B36,Tractor!$B$6:$AE$184,30,0)</f>
        <v>231.158.0109395</v>
      </c>
      <c r="G36" s="636">
        <f>VLOOKUP(B36,Tractor!$B$6:$AE$184,28,0)</f>
        <v>19400</v>
      </c>
      <c r="I36" s="1208"/>
      <c r="J36" s="1211"/>
    </row>
    <row r="37" spans="1:10" s="357" customFormat="1" ht="24" customHeight="1">
      <c r="A37" s="631" t="s">
        <v>738</v>
      </c>
      <c r="B37" s="632" t="s">
        <v>1087</v>
      </c>
      <c r="C37" s="633" t="str">
        <f>VLOOKUP(B37,Tractor!$B$6:$AE$184,2,0)</f>
        <v>Md Shamim Hosan</v>
      </c>
      <c r="D37" s="634" t="str">
        <f>VLOOKUP(B37,Tractor!$B$6:$AE$184,3,0)</f>
        <v>Asst. Mechanic</v>
      </c>
      <c r="E37" s="634" t="str">
        <f>VLOOKUP(B37,Tractor!$B$6:$AE$184,4,0)</f>
        <v>Technical</v>
      </c>
      <c r="F37" s="635" t="str">
        <f>VLOOKUP(B37,Tractor!$B$6:$AE$184,30,0)</f>
        <v>162.158.0129016</v>
      </c>
      <c r="G37" s="636">
        <f>VLOOKUP(B37,Tractor!$B$6:$AE$184,28,0)</f>
        <v>16490</v>
      </c>
      <c r="I37" s="1208"/>
      <c r="J37" s="1211"/>
    </row>
    <row r="38" spans="1:10" s="357" customFormat="1" ht="24" customHeight="1">
      <c r="A38" s="631" t="s">
        <v>739</v>
      </c>
      <c r="B38" s="637" t="s">
        <v>1114</v>
      </c>
      <c r="C38" s="633" t="str">
        <f>VLOOKUP(B38,Tractor!$B$6:$AE$184,2,0)</f>
        <v>Md Alamin</v>
      </c>
      <c r="D38" s="634" t="str">
        <f>VLOOKUP(B38,Tractor!$B$6:$AE$184,3,0)</f>
        <v>Mechanic</v>
      </c>
      <c r="E38" s="634" t="str">
        <f>VLOOKUP(B38,Tractor!$B$6:$AE$184,4,0)</f>
        <v>Technical</v>
      </c>
      <c r="F38" s="635" t="str">
        <f>VLOOKUP(B38,Tractor!$B$6:$AE$184,30,0)</f>
        <v>103.103.1141341</v>
      </c>
      <c r="G38" s="636">
        <f>VLOOKUP(B38,Tractor!$B$6:$AE$184,28,0)</f>
        <v>19400</v>
      </c>
      <c r="I38" s="1208"/>
      <c r="J38" s="1211"/>
    </row>
    <row r="39" spans="1:10" s="357" customFormat="1" ht="24" customHeight="1">
      <c r="A39" s="631" t="s">
        <v>740</v>
      </c>
      <c r="B39" s="632" t="s">
        <v>1117</v>
      </c>
      <c r="C39" s="633" t="str">
        <f>VLOOKUP(B39,Tractor!$B$6:$AE$184,2,0)</f>
        <v>Md Aminur Islam</v>
      </c>
      <c r="D39" s="634" t="str">
        <f>VLOOKUP(B39,Tractor!$B$6:$AE$184,3,0)</f>
        <v>Service Supervisor (Sr. Mechanic)</v>
      </c>
      <c r="E39" s="634" t="str">
        <f>VLOOKUP(B39,Tractor!$B$6:$AE$184,4,0)</f>
        <v>Technical</v>
      </c>
      <c r="F39" s="635" t="str">
        <f>VLOOKUP(B39,Tractor!$B$6:$AE$184,30,0)</f>
        <v>163.151.0074287</v>
      </c>
      <c r="G39" s="636">
        <f>VLOOKUP(B39,Tractor!$B$6:$AE$184,28,0)</f>
        <v>23280</v>
      </c>
      <c r="I39" s="1208"/>
      <c r="J39" s="1211"/>
    </row>
    <row r="40" spans="1:10" s="357" customFormat="1" ht="24" customHeight="1">
      <c r="A40" s="631" t="s">
        <v>741</v>
      </c>
      <c r="B40" s="637" t="s">
        <v>1237</v>
      </c>
      <c r="C40" s="633" t="str">
        <f>VLOOKUP(B40,Tractor!$B$6:$AE$184,2,0)</f>
        <v>Md Hasib Islam</v>
      </c>
      <c r="D40" s="634" t="str">
        <f>VLOOKUP(B40,Tractor!$B$6:$AE$184,3,0)</f>
        <v>Mechanic</v>
      </c>
      <c r="E40" s="634" t="str">
        <f>VLOOKUP(B40,Tractor!$B$6:$AE$184,4,0)</f>
        <v>Technical</v>
      </c>
      <c r="F40" s="635" t="str">
        <f>VLOOKUP(B40,Tractor!$B$6:$AE$184,30,0)</f>
        <v>103.103.1361958</v>
      </c>
      <c r="G40" s="636">
        <f>VLOOKUP(B40,Tractor!$B$6:$AE$184,28,0)</f>
        <v>18000</v>
      </c>
      <c r="I40" s="1208"/>
      <c r="J40" s="1211"/>
    </row>
    <row r="41" spans="1:10" s="357" customFormat="1" ht="24" customHeight="1">
      <c r="A41" s="631" t="s">
        <v>742</v>
      </c>
      <c r="B41" s="637" t="s">
        <v>1241</v>
      </c>
      <c r="C41" s="633" t="str">
        <f>VLOOKUP(B41,Tractor!$B$6:$AE$184,2,0)</f>
        <v>Md Rashel Babu</v>
      </c>
      <c r="D41" s="634" t="str">
        <f>VLOOKUP(B41,Tractor!$B$6:$AE$184,3,0)</f>
        <v>Mechanic</v>
      </c>
      <c r="E41" s="634" t="str">
        <f>VLOOKUP(B41,Tractor!$B$6:$AE$184,4,0)</f>
        <v>Technical</v>
      </c>
      <c r="F41" s="635" t="str">
        <f>VLOOKUP(B41,Tractor!$B$6:$AE$184,30,0)</f>
        <v>172.158.0039727</v>
      </c>
      <c r="G41" s="636">
        <f>VLOOKUP(B41,Tractor!$B$6:$AE$184,28,0)</f>
        <v>19000</v>
      </c>
      <c r="I41" s="1208"/>
      <c r="J41" s="1211"/>
    </row>
    <row r="42" spans="1:10" s="357" customFormat="1" ht="24" customHeight="1">
      <c r="A42" s="631" t="s">
        <v>743</v>
      </c>
      <c r="B42" s="632" t="s">
        <v>1292</v>
      </c>
      <c r="C42" s="633" t="str">
        <f>VLOOKUP(B42,Tractor!$B$6:$AE$184,2,0)</f>
        <v>Mizanur Rahman</v>
      </c>
      <c r="D42" s="634" t="str">
        <f>VLOOKUP(B42,Tractor!$B$6:$AE$184,3,0)</f>
        <v>Mechanic</v>
      </c>
      <c r="E42" s="634" t="str">
        <f>VLOOKUP(B42,Tractor!$B$6:$AE$184,4,0)</f>
        <v>Technical</v>
      </c>
      <c r="F42" s="635" t="str">
        <f>VLOOKUP(B42,Tractor!$B$6:$AE$184,30,0)</f>
        <v>293.103.0420982</v>
      </c>
      <c r="G42" s="636">
        <f>VLOOKUP(B42,Tractor!$B$6:$AE$184,28,0)</f>
        <v>16000</v>
      </c>
      <c r="I42" s="1208"/>
      <c r="J42" s="1211"/>
    </row>
    <row r="43" spans="1:10" s="357" customFormat="1" ht="24" customHeight="1">
      <c r="A43" s="631" t="s">
        <v>744</v>
      </c>
      <c r="B43" s="632" t="s">
        <v>1294</v>
      </c>
      <c r="C43" s="633" t="str">
        <f>VLOOKUP(B43,Tractor!$B$6:$AE$184,2,0)</f>
        <v>Md Saidul Islam</v>
      </c>
      <c r="D43" s="634" t="str">
        <f>VLOOKUP(B43,Tractor!$B$6:$AE$184,3,0)</f>
        <v>Mechanic</v>
      </c>
      <c r="E43" s="634" t="str">
        <f>VLOOKUP(B43,Tractor!$B$6:$AE$184,4,0)</f>
        <v>Technical</v>
      </c>
      <c r="F43" s="635" t="str">
        <f>VLOOKUP(B43,Tractor!$B$6:$AE$184,30,0)</f>
        <v>103.103.672294</v>
      </c>
      <c r="G43" s="636">
        <f>VLOOKUP(B43,Tractor!$B$6:$AE$184,28,0)</f>
        <v>20000</v>
      </c>
      <c r="I43" s="1208"/>
      <c r="J43" s="1211"/>
    </row>
    <row r="44" spans="1:10" s="357" customFormat="1" ht="24" customHeight="1">
      <c r="A44" s="631" t="s">
        <v>745</v>
      </c>
      <c r="B44" s="637" t="s">
        <v>101</v>
      </c>
      <c r="C44" s="633" t="str">
        <f>VLOOKUP(B44,Tractor!$B$6:$AE$184,2,0)</f>
        <v>Md. Nefaur Rahman</v>
      </c>
      <c r="D44" s="634" t="str">
        <f>VLOOKUP(B44,Tractor!$B$6:$AE$184,3,0)</f>
        <v>Mechanic</v>
      </c>
      <c r="E44" s="634" t="str">
        <f>VLOOKUP(B44,Tractor!$B$6:$AE$184,4,0)</f>
        <v>Technical</v>
      </c>
      <c r="F44" s="635" t="str">
        <f>VLOOKUP(B44,Tractor!$B$6:$AE$184,30,0)</f>
        <v>263.158.0019418</v>
      </c>
      <c r="G44" s="636">
        <f>VLOOKUP(B44,Tractor!$B$6:$AE$184,28,0)</f>
        <v>19538</v>
      </c>
      <c r="I44" s="1208"/>
      <c r="J44" s="1211"/>
    </row>
    <row r="45" spans="1:10" s="357" customFormat="1" ht="24" customHeight="1">
      <c r="A45" s="631" t="s">
        <v>746</v>
      </c>
      <c r="B45" s="637" t="s">
        <v>107</v>
      </c>
      <c r="C45" s="633" t="str">
        <f>VLOOKUP(B45,Tractor!$B$6:$AE$184,2,0)</f>
        <v>Arman Hossen</v>
      </c>
      <c r="D45" s="634" t="str">
        <f>VLOOKUP(B45,Tractor!$B$6:$AE$184,3,0)</f>
        <v>Jr. Mechanic</v>
      </c>
      <c r="E45" s="634" t="str">
        <f>VLOOKUP(B45,Tractor!$B$6:$AE$184,4,0)</f>
        <v>Technical</v>
      </c>
      <c r="F45" s="635" t="str">
        <f>VLOOKUP(B45,Tractor!$B$6:$AE$184,30,0)</f>
        <v>165.105.0014139</v>
      </c>
      <c r="G45" s="636">
        <f>VLOOKUP(B45,Tractor!$B$6:$AE$184,28,0)</f>
        <v>15508</v>
      </c>
      <c r="I45" s="1208"/>
      <c r="J45" s="1211"/>
    </row>
    <row r="46" spans="1:10" s="357" customFormat="1" ht="24" customHeight="1">
      <c r="A46" s="631" t="s">
        <v>747</v>
      </c>
      <c r="B46" s="637" t="s">
        <v>129</v>
      </c>
      <c r="C46" s="633" t="str">
        <f>VLOOKUP(B46,Tractor!$B$6:$AE$184,2,0)</f>
        <v>Md. Yeasin Ali</v>
      </c>
      <c r="D46" s="634" t="str">
        <f>VLOOKUP(B46,Tractor!$B$6:$AE$184,3,0)</f>
        <v>Jr. Mechanic</v>
      </c>
      <c r="E46" s="634" t="str">
        <f>VLOOKUP(B46,Tractor!$B$6:$AE$184,4,0)</f>
        <v>Technical</v>
      </c>
      <c r="F46" s="635" t="str">
        <f>VLOOKUP(B46,Tractor!$B$6:$AE$184,30,0)</f>
        <v>226.158.0016006</v>
      </c>
      <c r="G46" s="636">
        <f>VLOOKUP(B46,Tractor!$B$6:$AE$184,28,0)</f>
        <v>17993</v>
      </c>
      <c r="I46" s="1208"/>
      <c r="J46" s="1211"/>
    </row>
    <row r="47" spans="1:10" s="357" customFormat="1" ht="24" customHeight="1">
      <c r="A47" s="631" t="s">
        <v>748</v>
      </c>
      <c r="B47" s="632" t="s">
        <v>154</v>
      </c>
      <c r="C47" s="633" t="str">
        <f>VLOOKUP(B47,Tractor!$B$6:$AE$184,2,0)</f>
        <v>Shamim Akter Akash</v>
      </c>
      <c r="D47" s="634" t="str">
        <f>VLOOKUP(B47,Tractor!$B$6:$AE$184,3,0)</f>
        <v>Mechanic</v>
      </c>
      <c r="E47" s="634" t="str">
        <f>VLOOKUP(B47,Tractor!$B$6:$AE$184,4,0)</f>
        <v>Technical</v>
      </c>
      <c r="F47" s="635" t="str">
        <f>VLOOKUP(B47,Tractor!$B$6:$AE$184,30,0)</f>
        <v>127.158.0064093</v>
      </c>
      <c r="G47" s="636">
        <f>VLOOKUP(B47,Tractor!$B$6:$AE$184,28,0)</f>
        <v>17510</v>
      </c>
      <c r="I47" s="1208"/>
      <c r="J47" s="1211"/>
    </row>
    <row r="48" spans="1:10" s="357" customFormat="1" ht="24" customHeight="1">
      <c r="A48" s="631" t="s">
        <v>749</v>
      </c>
      <c r="B48" s="632" t="s">
        <v>157</v>
      </c>
      <c r="C48" s="633" t="str">
        <f>VLOOKUP(B48,Tractor!$B$6:$AE$184,2,0)</f>
        <v>Md. Shaon Ali</v>
      </c>
      <c r="D48" s="634" t="str">
        <f>VLOOKUP(B48,Tractor!$B$6:$AE$184,3,0)</f>
        <v>Jr. Mechanic</v>
      </c>
      <c r="E48" s="634" t="str">
        <f>VLOOKUP(B48,Tractor!$B$6:$AE$184,4,0)</f>
        <v>Technical</v>
      </c>
      <c r="F48" s="635" t="str">
        <f>VLOOKUP(B48,Tractor!$B$6:$AE$184,30,0)</f>
        <v>289.103.0001890</v>
      </c>
      <c r="G48" s="636">
        <f>VLOOKUP(B48,Tractor!$B$6:$AE$184,28,0)</f>
        <v>23628</v>
      </c>
      <c r="I48" s="1208"/>
      <c r="J48" s="1211"/>
    </row>
    <row r="49" spans="1:10" s="357" customFormat="1" ht="24" customHeight="1">
      <c r="A49" s="631" t="s">
        <v>750</v>
      </c>
      <c r="B49" s="632" t="s">
        <v>171</v>
      </c>
      <c r="C49" s="633" t="str">
        <f>VLOOKUP(B49,Tractor!$B$6:$AE$184,2,0)</f>
        <v>Hashim Uddin</v>
      </c>
      <c r="D49" s="634" t="str">
        <f>VLOOKUP(B49,Tractor!$B$6:$AE$184,3,0)</f>
        <v>Jr. Mechanic</v>
      </c>
      <c r="E49" s="634" t="str">
        <f>VLOOKUP(B49,Tractor!$B$6:$AE$184,4,0)</f>
        <v>Technical</v>
      </c>
      <c r="F49" s="635" t="str">
        <f>VLOOKUP(B49,Tractor!$B$6:$AE$184,30,0)</f>
        <v>156.158.0056318</v>
      </c>
      <c r="G49" s="636">
        <f>VLOOKUP(B49,Tractor!$B$6:$AE$184,28,0)</f>
        <v>15696</v>
      </c>
      <c r="I49" s="1208"/>
      <c r="J49" s="1211"/>
    </row>
    <row r="50" spans="1:10" s="357" customFormat="1" ht="24" customHeight="1">
      <c r="A50" s="631" t="s">
        <v>751</v>
      </c>
      <c r="B50" s="632" t="s">
        <v>179</v>
      </c>
      <c r="C50" s="633" t="str">
        <f>VLOOKUP(B50,Tractor!$B$6:$AE$184,2,0)</f>
        <v>Md. Aminul Haque</v>
      </c>
      <c r="D50" s="634" t="str">
        <f>VLOOKUP(B50,Tractor!$B$6:$AE$184,3,0)</f>
        <v>Mechanic</v>
      </c>
      <c r="E50" s="634" t="str">
        <f>VLOOKUP(B50,Tractor!$B$6:$AE$184,4,0)</f>
        <v>Technical</v>
      </c>
      <c r="F50" s="635" t="str">
        <f>VLOOKUP(B50,Tractor!$B$6:$AE$184,30,0)</f>
        <v>156.151.0066283</v>
      </c>
      <c r="G50" s="636">
        <f>VLOOKUP(B50,Tractor!$B$6:$AE$184,28,0)</f>
        <v>17400</v>
      </c>
      <c r="I50" s="1208"/>
      <c r="J50" s="1211"/>
    </row>
    <row r="51" spans="1:10" s="357" customFormat="1" ht="24" customHeight="1">
      <c r="A51" s="631" t="s">
        <v>752</v>
      </c>
      <c r="B51" s="632" t="s">
        <v>190</v>
      </c>
      <c r="C51" s="633" t="str">
        <f>VLOOKUP(B51,Tractor!$B$6:$AE$184,2,0)</f>
        <v>Md. Saju Ahmed</v>
      </c>
      <c r="D51" s="634" t="str">
        <f>VLOOKUP(B51,Tractor!$B$6:$AE$184,3,0)</f>
        <v>Mechanic</v>
      </c>
      <c r="E51" s="634" t="str">
        <f>VLOOKUP(B51,Tractor!$B$6:$AE$184,4,0)</f>
        <v>Technical</v>
      </c>
      <c r="F51" s="635" t="str">
        <f>VLOOKUP(B51,Tractor!$B$6:$AE$184,30,0)</f>
        <v>282.105.0036019</v>
      </c>
      <c r="G51" s="636">
        <f>VLOOKUP(B51,Tractor!$B$6:$AE$184,28,0)</f>
        <v>22310</v>
      </c>
      <c r="I51" s="1208"/>
      <c r="J51" s="1211"/>
    </row>
    <row r="52" spans="1:10" s="357" customFormat="1" ht="24" customHeight="1">
      <c r="A52" s="631" t="s">
        <v>753</v>
      </c>
      <c r="B52" s="632" t="s">
        <v>608</v>
      </c>
      <c r="C52" s="633" t="str">
        <f>VLOOKUP(B52,Tractor!$B$6:$AE$184,2,0)</f>
        <v>Md. Hasanur Rahman</v>
      </c>
      <c r="D52" s="634" t="str">
        <f>VLOOKUP(B52,Tractor!$B$6:$AE$184,3,0)</f>
        <v>Mechanic</v>
      </c>
      <c r="E52" s="634" t="str">
        <f>VLOOKUP(B52,Tractor!$B$6:$AE$184,4,0)</f>
        <v>Technical</v>
      </c>
      <c r="F52" s="635" t="str">
        <f>VLOOKUP(B52,Tractor!$B$6:$AE$184,30,0)</f>
        <v>281.158.0012158</v>
      </c>
      <c r="G52" s="636">
        <f>VLOOKUP(B52,Tractor!$B$6:$AE$184,28,0)</f>
        <v>17685</v>
      </c>
      <c r="I52" s="1208"/>
      <c r="J52" s="1211"/>
    </row>
    <row r="53" spans="1:10" s="357" customFormat="1" ht="24" customHeight="1">
      <c r="A53" s="631" t="s">
        <v>754</v>
      </c>
      <c r="B53" s="632" t="s">
        <v>610</v>
      </c>
      <c r="C53" s="633" t="str">
        <f>VLOOKUP(B53,Tractor!$B$6:$AE$184,2,0)</f>
        <v>Md. Raju Ahmed</v>
      </c>
      <c r="D53" s="634" t="str">
        <f>VLOOKUP(B53,Tractor!$B$6:$AE$184,3,0)</f>
        <v>Mechanic</v>
      </c>
      <c r="E53" s="634" t="str">
        <f>VLOOKUP(B53,Tractor!$B$6:$AE$184,4,0)</f>
        <v>Techincal</v>
      </c>
      <c r="F53" s="635" t="str">
        <f>VLOOKUP(B53,Tractor!$B$6:$AE$184,30,0)</f>
        <v>289.103.0002403</v>
      </c>
      <c r="G53" s="636">
        <f>VLOOKUP(B53,Tractor!$B$6:$AE$184,28,0)</f>
        <v>15479</v>
      </c>
      <c r="I53" s="1208"/>
      <c r="J53" s="1211"/>
    </row>
    <row r="54" spans="1:10" s="357" customFormat="1" ht="24" customHeight="1">
      <c r="A54" s="631" t="s">
        <v>755</v>
      </c>
      <c r="B54" s="632" t="s">
        <v>615</v>
      </c>
      <c r="C54" s="633" t="str">
        <f>VLOOKUP(B54,Tractor!$B$6:$AE$184,2,0)</f>
        <v>Md. Kaiyum Babu</v>
      </c>
      <c r="D54" s="634" t="str">
        <f>VLOOKUP(B54,Tractor!$B$6:$AE$184,3,0)</f>
        <v>Mechanic</v>
      </c>
      <c r="E54" s="634" t="str">
        <f>VLOOKUP(B54,Tractor!$B$6:$AE$184,4,0)</f>
        <v>Technical</v>
      </c>
      <c r="F54" s="635" t="str">
        <f>VLOOKUP(B54,Tractor!$B$6:$AE$184,30,0)</f>
        <v>172.107.0054435</v>
      </c>
      <c r="G54" s="636">
        <f>VLOOKUP(B54,Tractor!$B$6:$AE$184,28,0)</f>
        <v>19534</v>
      </c>
      <c r="I54" s="1208"/>
      <c r="J54" s="1211"/>
    </row>
    <row r="55" spans="1:10" s="357" customFormat="1" ht="24" customHeight="1">
      <c r="A55" s="631" t="s">
        <v>756</v>
      </c>
      <c r="B55" s="632" t="s">
        <v>658</v>
      </c>
      <c r="C55" s="633" t="str">
        <f>VLOOKUP(B55,Tractor!$B$6:$AE$184,2,0)</f>
        <v>Md. Abdur Rahman Sagor</v>
      </c>
      <c r="D55" s="634" t="str">
        <f>VLOOKUP(B55,Tractor!$B$6:$AE$184,3,0)</f>
        <v>Trainee Engineer</v>
      </c>
      <c r="E55" s="634" t="str">
        <f>VLOOKUP(B55,Tractor!$B$6:$AE$184,4,0)</f>
        <v>Technical</v>
      </c>
      <c r="F55" s="635" t="str">
        <f>VLOOKUP(B55,Tractor!$B$6:$AE$184,30,0)</f>
        <v>172.103.0055404</v>
      </c>
      <c r="G55" s="636">
        <f>VLOOKUP(B55,Tractor!$B$6:$AE$184,28,0)</f>
        <v>20564</v>
      </c>
      <c r="I55" s="1208"/>
      <c r="J55" s="1211"/>
    </row>
    <row r="56" spans="1:10" s="357" customFormat="1" ht="24" customHeight="1">
      <c r="A56" s="631" t="s">
        <v>757</v>
      </c>
      <c r="B56" s="632" t="s">
        <v>660</v>
      </c>
      <c r="C56" s="633" t="str">
        <f>VLOOKUP(B56,Tractor!$B$6:$AE$184,2,0)</f>
        <v>Md. Azizul Hakim</v>
      </c>
      <c r="D56" s="634" t="str">
        <f>VLOOKUP(B56,Tractor!$B$6:$AE$184,3,0)</f>
        <v>Trainee Engineer</v>
      </c>
      <c r="E56" s="634" t="str">
        <f>VLOOKUP(B56,Tractor!$B$6:$AE$184,4,0)</f>
        <v>Technical</v>
      </c>
      <c r="F56" s="635" t="str">
        <f>VLOOKUP(B56,Tractor!$B$6:$AE$184,30,0)</f>
        <v>172.103.0055425</v>
      </c>
      <c r="G56" s="636">
        <f>VLOOKUP(B56,Tractor!$B$6:$AE$184,28,0)</f>
        <v>20370</v>
      </c>
      <c r="I56" s="1208"/>
      <c r="J56" s="1211"/>
    </row>
    <row r="57" spans="1:10" s="357" customFormat="1" ht="24" customHeight="1">
      <c r="A57" s="631" t="s">
        <v>758</v>
      </c>
      <c r="B57" s="632" t="s">
        <v>1089</v>
      </c>
      <c r="C57" s="633" t="str">
        <f>VLOOKUP(B57,Tractor!$B$6:$AE$184,2,0)</f>
        <v>Md Rashidul Islam</v>
      </c>
      <c r="D57" s="634" t="str">
        <f>VLOOKUP(B57,Tractor!$B$6:$AE$184,3,0)</f>
        <v>Mechanic</v>
      </c>
      <c r="E57" s="634" t="str">
        <f>VLOOKUP(B57,Tractor!$B$6:$AE$184,4,0)</f>
        <v>Technical</v>
      </c>
      <c r="F57" s="635" t="str">
        <f>VLOOKUP(B57,Tractor!$B$6:$AE$184,30,0)</f>
        <v>172.158.0072690</v>
      </c>
      <c r="G57" s="636">
        <f>VLOOKUP(B57,Tractor!$B$6:$AE$184,28,0)</f>
        <v>22310</v>
      </c>
      <c r="I57" s="1208"/>
      <c r="J57" s="1211"/>
    </row>
    <row r="58" spans="1:10" s="357" customFormat="1" ht="24" customHeight="1">
      <c r="A58" s="631" t="s">
        <v>759</v>
      </c>
      <c r="B58" s="632" t="s">
        <v>1132</v>
      </c>
      <c r="C58" s="633" t="str">
        <f>VLOOKUP(B58,Tractor!$B$6:$AE$184,2,0)</f>
        <v>Md Arif Molla</v>
      </c>
      <c r="D58" s="634" t="str">
        <f>VLOOKUP(B58,Tractor!$B$6:$AE$184,3,0)</f>
        <v>Mechanic</v>
      </c>
      <c r="E58" s="634" t="str">
        <f>VLOOKUP(B58,Tractor!$B$6:$AE$184,4,0)</f>
        <v>Technical</v>
      </c>
      <c r="F58" s="635" t="str">
        <f>VLOOKUP(B58,Tractor!$B$6:$AE$184,30,0)</f>
        <v>161.158.0009002</v>
      </c>
      <c r="G58" s="636">
        <f>VLOOKUP(B58,Tractor!$B$6:$AE$184,28,0)</f>
        <v>17158</v>
      </c>
      <c r="I58" s="1208"/>
      <c r="J58" s="1211"/>
    </row>
    <row r="59" spans="1:10" s="357" customFormat="1" ht="24" customHeight="1">
      <c r="A59" s="631" t="s">
        <v>760</v>
      </c>
      <c r="B59" s="632" t="s">
        <v>1315</v>
      </c>
      <c r="C59" s="633" t="str">
        <f>VLOOKUP(B59,Tractor!$B$6:$AE$184,2,0)</f>
        <v>Md Anarul Islam</v>
      </c>
      <c r="D59" s="634" t="str">
        <f>VLOOKUP(B59,Tractor!$B$6:$AE$184,3,0)</f>
        <v>Sr. Mechanic</v>
      </c>
      <c r="E59" s="634" t="str">
        <f>VLOOKUP(B59,Tractor!$B$6:$AE$184,4,0)</f>
        <v>Technical</v>
      </c>
      <c r="F59" s="635" t="str">
        <f>VLOOKUP(B59,Tractor!$B$6:$AE$184,30,0)</f>
        <v>172.151.0207819</v>
      </c>
      <c r="G59" s="636">
        <f>VLOOKUP(B59,Tractor!$B$6:$AE$184,28,0)</f>
        <v>22000</v>
      </c>
      <c r="I59" s="1208"/>
      <c r="J59" s="1211"/>
    </row>
    <row r="60" spans="1:10" s="357" customFormat="1" ht="24" customHeight="1">
      <c r="A60" s="631" t="s">
        <v>761</v>
      </c>
      <c r="B60" s="632" t="s">
        <v>1317</v>
      </c>
      <c r="C60" s="633" t="str">
        <f>VLOOKUP(B60,Tractor!$B$6:$AE$184,2,0)</f>
        <v>Md Shahin Alam</v>
      </c>
      <c r="D60" s="634" t="str">
        <f>VLOOKUP(B60,Tractor!$B$6:$AE$184,3,0)</f>
        <v>Sr. Mechanic</v>
      </c>
      <c r="E60" s="634" t="str">
        <f>VLOOKUP(B60,Tractor!$B$6:$AE$184,4,0)</f>
        <v>Technical</v>
      </c>
      <c r="F60" s="635" t="str">
        <f>VLOOKUP(B60,Tractor!$B$6:$AE$184,30,0)</f>
        <v>141.151.0224664</v>
      </c>
      <c r="G60" s="636">
        <f>VLOOKUP(B60,Tractor!$B$6:$AE$184,28,0)</f>
        <v>24000</v>
      </c>
      <c r="I60" s="1208"/>
      <c r="J60" s="1211"/>
    </row>
    <row r="61" spans="1:10" s="357" customFormat="1" ht="24" customHeight="1">
      <c r="A61" s="631" t="s">
        <v>762</v>
      </c>
      <c r="B61" s="632" t="s">
        <v>1319</v>
      </c>
      <c r="C61" s="633" t="str">
        <f>VLOOKUP(B61,Tractor!$B$6:$AE$184,2,0)</f>
        <v>Md Yousuf Miah</v>
      </c>
      <c r="D61" s="634" t="str">
        <f>VLOOKUP(B61,Tractor!$B$6:$AE$184,3,0)</f>
        <v>Mechanic</v>
      </c>
      <c r="E61" s="634" t="str">
        <f>VLOOKUP(B61,Tractor!$B$6:$AE$184,4,0)</f>
        <v>Technical</v>
      </c>
      <c r="F61" s="635" t="str">
        <f>VLOOKUP(B61,Tractor!$B$6:$AE$184,30,0)</f>
        <v>206.158.0005904</v>
      </c>
      <c r="G61" s="636">
        <f>VLOOKUP(B61,Tractor!$B$6:$AE$184,28,0)</f>
        <v>18000</v>
      </c>
      <c r="I61" s="1208"/>
      <c r="J61" s="1211"/>
    </row>
    <row r="62" spans="1:10" s="357" customFormat="1" ht="24" customHeight="1">
      <c r="A62" s="631" t="s">
        <v>763</v>
      </c>
      <c r="B62" s="632" t="s">
        <v>1324</v>
      </c>
      <c r="C62" s="633" t="str">
        <f>VLOOKUP(B62,Tractor!$B$6:$AE$184,2,0)</f>
        <v>Md Hasinur Roshid</v>
      </c>
      <c r="D62" s="634" t="str">
        <f>VLOOKUP(B62,Tractor!$B$6:$AE$184,3,0)</f>
        <v>Mechanic</v>
      </c>
      <c r="E62" s="634" t="str">
        <f>VLOOKUP(B62,Tractor!$B$6:$AE$184,4,0)</f>
        <v>Technical</v>
      </c>
      <c r="F62" s="635" t="str">
        <f>VLOOKUP(B62,Tractor!$B$6:$AE$184,30,0)</f>
        <v>149.103.0272190</v>
      </c>
      <c r="G62" s="636">
        <f>VLOOKUP(B62,Tractor!$B$6:$AE$184,28,0)</f>
        <v>18000</v>
      </c>
      <c r="I62" s="1208"/>
      <c r="J62" s="1211"/>
    </row>
    <row r="63" spans="1:10" s="357" customFormat="1" ht="24" customHeight="1">
      <c r="A63" s="631" t="s">
        <v>764</v>
      </c>
      <c r="B63" s="632" t="s">
        <v>1326</v>
      </c>
      <c r="C63" s="633" t="str">
        <f>VLOOKUP(B63,Tractor!$B$6:$AE$184,2,0)</f>
        <v>Md Ainul Islam</v>
      </c>
      <c r="D63" s="634" t="str">
        <f>VLOOKUP(B63,Tractor!$B$6:$AE$184,3,0)</f>
        <v>Mechanic</v>
      </c>
      <c r="E63" s="634" t="str">
        <f>VLOOKUP(B63,Tractor!$B$6:$AE$184,4,0)</f>
        <v>Technical</v>
      </c>
      <c r="F63" s="635" t="str">
        <f>VLOOKUP(B63,Tractor!$B$6:$AE$184,30,0)</f>
        <v>103.103.1360952</v>
      </c>
      <c r="G63" s="636">
        <f>VLOOKUP(B63,Tractor!$B$6:$AE$184,28,0)</f>
        <v>19500</v>
      </c>
      <c r="I63" s="1208"/>
      <c r="J63" s="1211"/>
    </row>
    <row r="64" spans="1:10" s="357" customFormat="1" ht="24" customHeight="1">
      <c r="A64" s="631" t="s">
        <v>765</v>
      </c>
      <c r="B64" s="632" t="s">
        <v>1328</v>
      </c>
      <c r="C64" s="633" t="str">
        <f>VLOOKUP(B64,Tractor!$B$6:$AE$184,2,0)</f>
        <v>Masud Mia</v>
      </c>
      <c r="D64" s="634" t="str">
        <f>VLOOKUP(B64,Tractor!$B$6:$AE$184,3,0)</f>
        <v>Mechanic</v>
      </c>
      <c r="E64" s="634" t="str">
        <f>VLOOKUP(B64,Tractor!$B$6:$AE$184,4,0)</f>
        <v>Technical</v>
      </c>
      <c r="F64" s="635" t="str">
        <f>VLOOKUP(B64,Tractor!$B$6:$AE$184,30,0)</f>
        <v>204.158.0062932</v>
      </c>
      <c r="G64" s="636">
        <f>VLOOKUP(B64,Tractor!$B$6:$AE$184,28,0)</f>
        <v>16000</v>
      </c>
      <c r="I64" s="1208"/>
      <c r="J64" s="1211"/>
    </row>
    <row r="65" spans="1:10" s="357" customFormat="1" ht="24" customHeight="1">
      <c r="A65" s="631" t="s">
        <v>766</v>
      </c>
      <c r="B65" s="632" t="s">
        <v>1458</v>
      </c>
      <c r="C65" s="633" t="str">
        <f>VLOOKUP(B65,Tractor!$B$6:$AE$184,2,0)</f>
        <v>Md Sohel Rana</v>
      </c>
      <c r="D65" s="634" t="str">
        <f>VLOOKUP(B65,Tractor!$B$6:$AE$184,3,0)</f>
        <v>Assistant Mechanic</v>
      </c>
      <c r="E65" s="634" t="str">
        <f>VLOOKUP(B65,Tractor!$B$6:$AE$184,4,0)</f>
        <v>Technical</v>
      </c>
      <c r="F65" s="635" t="str">
        <f>VLOOKUP(B65,Tractor!$B$6:$AE$184,30,0)</f>
        <v>162..158.0008989</v>
      </c>
      <c r="G65" s="636">
        <f>VLOOKUP(B65,Tractor!$B$6:$AE$184,28,0)</f>
        <v>19000</v>
      </c>
      <c r="I65" s="1208"/>
      <c r="J65" s="1211"/>
    </row>
    <row r="66" spans="1:10" s="357" customFormat="1" ht="24" customHeight="1">
      <c r="A66" s="631" t="s">
        <v>767</v>
      </c>
      <c r="B66" s="632" t="s">
        <v>1460</v>
      </c>
      <c r="C66" s="633" t="str">
        <f>VLOOKUP(B66,Tractor!$B$6:$AE$184,2,0)</f>
        <v>Md Ariful Islam</v>
      </c>
      <c r="D66" s="634" t="str">
        <f>VLOOKUP(B66,Tractor!$B$6:$AE$184,3,0)</f>
        <v>Mechanic</v>
      </c>
      <c r="E66" s="634" t="str">
        <f>VLOOKUP(B66,Tractor!$B$6:$AE$184,4,0)</f>
        <v>Technical</v>
      </c>
      <c r="F66" s="635" t="str">
        <f>VLOOKUP(B66,Tractor!$B$6:$AE$184,30,0)</f>
        <v>103.103.1377840</v>
      </c>
      <c r="G66" s="636">
        <f>VLOOKUP(B66,Tractor!$B$6:$AE$184,28,0)</f>
        <v>18000</v>
      </c>
      <c r="I66" s="1208"/>
      <c r="J66" s="1211"/>
    </row>
    <row r="67" spans="1:10" s="357" customFormat="1" ht="24" customHeight="1">
      <c r="A67" s="631" t="s">
        <v>768</v>
      </c>
      <c r="B67" s="632" t="s">
        <v>1461</v>
      </c>
      <c r="C67" s="633" t="str">
        <f>VLOOKUP(B67,Tractor!$B$6:$AE$184,2,0)</f>
        <v>Md Al Amin</v>
      </c>
      <c r="D67" s="634" t="str">
        <f>VLOOKUP(B67,Tractor!$B$6:$AE$184,3,0)</f>
        <v>Mechanic</v>
      </c>
      <c r="E67" s="634" t="str">
        <f>VLOOKUP(B67,Tractor!$B$6:$AE$184,4,0)</f>
        <v>Technical</v>
      </c>
      <c r="F67" s="635" t="str">
        <f>VLOOKUP(B67,Tractor!$B$6:$AE$184,30,0)</f>
        <v>248.103.0023038</v>
      </c>
      <c r="G67" s="636">
        <f>VLOOKUP(B67,Tractor!$B$6:$AE$184,28,0)</f>
        <v>22000</v>
      </c>
      <c r="I67" s="1208"/>
      <c r="J67" s="1211"/>
    </row>
    <row r="68" spans="1:10" s="357" customFormat="1" ht="24" customHeight="1">
      <c r="A68" s="631" t="s">
        <v>769</v>
      </c>
      <c r="B68" s="632" t="s">
        <v>1796</v>
      </c>
      <c r="C68" s="633" t="str">
        <f>VLOOKUP(B68,Tractor!$B$6:$AE$184,2,0)</f>
        <v>Rabbv Ahmed</v>
      </c>
      <c r="D68" s="634" t="str">
        <f>VLOOKUP(B68,Tractor!$B$6:$AE$184,3,0)</f>
        <v>Sr. Service Engineer</v>
      </c>
      <c r="E68" s="634" t="str">
        <f>VLOOKUP(B68,Tractor!$B$6:$AE$184,4,0)</f>
        <v>Technical</v>
      </c>
      <c r="F68" s="635" t="str">
        <f>VLOOKUP(B68,Tractor!$B$6:$AE$184,30,0)</f>
        <v>168.105.0016969</v>
      </c>
      <c r="G68" s="636">
        <f>VLOOKUP(B68,Tractor!$B$6:$AE$184,28,0)</f>
        <v>30000</v>
      </c>
      <c r="I68" s="1208"/>
      <c r="J68" s="1211"/>
    </row>
    <row r="69" spans="1:10" s="357" customFormat="1" ht="24" customHeight="1">
      <c r="A69" s="631" t="s">
        <v>770</v>
      </c>
      <c r="B69" s="632" t="s">
        <v>1798</v>
      </c>
      <c r="C69" s="633" t="str">
        <f>VLOOKUP(B69,Tractor!$B$6:$AE$184,2,0)</f>
        <v>Md Ripon Islam</v>
      </c>
      <c r="D69" s="634" t="str">
        <f>VLOOKUP(B69,Tractor!$B$6:$AE$184,3,0)</f>
        <v>Mechanic</v>
      </c>
      <c r="E69" s="634" t="str">
        <f>VLOOKUP(B69,Tractor!$B$6:$AE$184,4,0)</f>
        <v>Technical</v>
      </c>
      <c r="F69" s="635" t="str">
        <f>VLOOKUP(B69,Tractor!$B$6:$AE$184,30,0)</f>
        <v>163.107.0096267</v>
      </c>
      <c r="G69" s="636">
        <f>VLOOKUP(B69,Tractor!$B$6:$AE$184,28,0)</f>
        <v>18158</v>
      </c>
      <c r="I69" s="1208"/>
      <c r="J69" s="1211"/>
    </row>
    <row r="70" spans="1:10" s="357" customFormat="1" ht="24" customHeight="1">
      <c r="A70" s="631" t="s">
        <v>771</v>
      </c>
      <c r="B70" s="632" t="s">
        <v>1800</v>
      </c>
      <c r="C70" s="633" t="str">
        <f>VLOOKUP(B70,Tractor!$B$6:$AE$184,2,0)</f>
        <v>Md Forid Hossen</v>
      </c>
      <c r="D70" s="634" t="str">
        <f>VLOOKUP(B70,Tractor!$B$6:$AE$184,3,0)</f>
        <v>Mechanic</v>
      </c>
      <c r="E70" s="634" t="str">
        <f>VLOOKUP(B70,Tractor!$B$6:$AE$184,4,0)</f>
        <v>Technical</v>
      </c>
      <c r="F70" s="635" t="str">
        <f>VLOOKUP(B70,Tractor!$B$6:$AE$184,30,0)</f>
        <v>343.158.0012643</v>
      </c>
      <c r="G70" s="636">
        <f>VLOOKUP(B70,Tractor!$B$6:$AE$184,28,0)</f>
        <v>19158</v>
      </c>
      <c r="I70" s="1208"/>
      <c r="J70" s="1211"/>
    </row>
    <row r="71" spans="1:10" s="357" customFormat="1" ht="24" customHeight="1">
      <c r="A71" s="631" t="s">
        <v>772</v>
      </c>
      <c r="B71" s="632" t="s">
        <v>1805</v>
      </c>
      <c r="C71" s="633" t="str">
        <f>VLOOKUP(B71,Tractor!$B$6:$AE$184,2,0)</f>
        <v>Md Sakib Hasan</v>
      </c>
      <c r="D71" s="634" t="str">
        <f>VLOOKUP(B71,Tractor!$B$6:$AE$184,3,0)</f>
        <v>Trainee Mechanic</v>
      </c>
      <c r="E71" s="634" t="str">
        <f>VLOOKUP(B71,Tractor!$B$6:$AE$184,4,0)</f>
        <v>Technical</v>
      </c>
      <c r="F71" s="635" t="str">
        <f>VLOOKUP(B71,Tractor!$B$6:$AE$184,30,0)</f>
        <v>187.158.0091520</v>
      </c>
      <c r="G71" s="636">
        <f>VLOOKUP(B71,Tractor!$B$6:$AE$184,28,0)</f>
        <v>14000</v>
      </c>
      <c r="I71" s="1208"/>
      <c r="J71" s="1211"/>
    </row>
    <row r="72" spans="1:10" s="357" customFormat="1" ht="24" customHeight="1">
      <c r="A72" s="631" t="s">
        <v>773</v>
      </c>
      <c r="B72" s="632" t="s">
        <v>323</v>
      </c>
      <c r="C72" s="633" t="str">
        <f>VLOOKUP(B72,Tractor!$B$6:$AE$184,2,0)</f>
        <v>Md. Sabbir Hossen</v>
      </c>
      <c r="D72" s="634" t="str">
        <f>VLOOKUP(B72,Tractor!$B$6:$AE$184,3,0)</f>
        <v>Store Officer</v>
      </c>
      <c r="E72" s="634" t="str">
        <f>VLOOKUP(B72,Tractor!$B$6:$AE$184,4,0)</f>
        <v>Store &amp; Logistics</v>
      </c>
      <c r="F72" s="635" t="str">
        <f>VLOOKUP(B72,Tractor!$B$6:$AE$184,30,0)</f>
        <v>163.158.0032550</v>
      </c>
      <c r="G72" s="636">
        <f>VLOOKUP(B72,Tractor!$B$6:$AE$184,28,0)</f>
        <v>19250</v>
      </c>
      <c r="I72" s="1208"/>
      <c r="J72" s="1211"/>
    </row>
    <row r="73" spans="1:10" s="357" customFormat="1" ht="24" customHeight="1">
      <c r="A73" s="631" t="s">
        <v>774</v>
      </c>
      <c r="B73" s="632" t="s">
        <v>332</v>
      </c>
      <c r="C73" s="633" t="str">
        <f>VLOOKUP(B73,Tractor!$B$6:$AE$184,2,0)</f>
        <v>Md Obaydur Rahman</v>
      </c>
      <c r="D73" s="634" t="str">
        <f>VLOOKUP(B73,Tractor!$B$6:$AE$184,3,0)</f>
        <v>Store Assistant</v>
      </c>
      <c r="E73" s="634" t="str">
        <f>VLOOKUP(B73,Tractor!$B$6:$AE$184,4,0)</f>
        <v>Store &amp; Logistics</v>
      </c>
      <c r="F73" s="635" t="str">
        <f>VLOOKUP(B73,Tractor!$B$6:$AE$184,30,0)</f>
        <v>245.158.0004319</v>
      </c>
      <c r="G73" s="636">
        <f>VLOOKUP(B73,Tractor!$B$6:$AE$184,28,0)</f>
        <v>22310</v>
      </c>
      <c r="I73" s="1208"/>
      <c r="J73" s="1211"/>
    </row>
    <row r="74" spans="1:10" s="357" customFormat="1" ht="24" customHeight="1">
      <c r="A74" s="631" t="s">
        <v>775</v>
      </c>
      <c r="B74" s="632" t="s">
        <v>329</v>
      </c>
      <c r="C74" s="633" t="str">
        <f>VLOOKUP(B74,Tractor!$B$6:$AE$184,2,0)</f>
        <v>Md. Rashedul Islam</v>
      </c>
      <c r="D74" s="634" t="str">
        <f>VLOOKUP(B74,Tractor!$B$6:$AE$184,3,0)</f>
        <v>Sr. Store Officer</v>
      </c>
      <c r="E74" s="634" t="str">
        <f>VLOOKUP(B74,Tractor!$B$6:$AE$184,4,0)</f>
        <v>Store &amp; Logistics</v>
      </c>
      <c r="F74" s="635" t="str">
        <f>VLOOKUP(B74,Tractor!$B$6:$AE$184,30,0)</f>
        <v>127.158.0054868</v>
      </c>
      <c r="G74" s="636">
        <f>VLOOKUP(B74,Tractor!$B$6:$AE$184,28,0)</f>
        <v>28615</v>
      </c>
      <c r="I74" s="1208"/>
      <c r="J74" s="1211"/>
    </row>
    <row r="75" spans="1:10" s="357" customFormat="1" ht="24" customHeight="1">
      <c r="A75" s="631" t="s">
        <v>776</v>
      </c>
      <c r="B75" s="632" t="s">
        <v>349</v>
      </c>
      <c r="C75" s="633" t="str">
        <f>VLOOKUP(B75,Tractor!$B$6:$AE$184,2,0)</f>
        <v>Md. Abdus Salam Shek</v>
      </c>
      <c r="D75" s="634" t="str">
        <f>VLOOKUP(B75,Tractor!$B$6:$AE$184,3,0)</f>
        <v>Store Officer</v>
      </c>
      <c r="E75" s="634" t="str">
        <f>VLOOKUP(B75,Tractor!$B$6:$AE$184,4,0)</f>
        <v>Store &amp; Logistics</v>
      </c>
      <c r="F75" s="635" t="str">
        <f>VLOOKUP(B75,Tractor!$B$6:$AE$184,30,0)</f>
        <v>163.158.0056439</v>
      </c>
      <c r="G75" s="636">
        <f>VLOOKUP(B75,Tractor!$B$6:$AE$184,28,0)</f>
        <v>28130</v>
      </c>
      <c r="I75" s="1208"/>
      <c r="J75" s="1211"/>
    </row>
    <row r="76" spans="1:10" s="357" customFormat="1" ht="24" customHeight="1">
      <c r="A76" s="631" t="s">
        <v>777</v>
      </c>
      <c r="B76" s="632" t="s">
        <v>354</v>
      </c>
      <c r="C76" s="633" t="str">
        <f>VLOOKUP(B76,Tractor!$B$6:$AE$184,2,0)</f>
        <v>Faysal Ahammed Munshi</v>
      </c>
      <c r="D76" s="634" t="str">
        <f>VLOOKUP(B76,Tractor!$B$6:$AE$184,3,0)</f>
        <v>Store Officer</v>
      </c>
      <c r="E76" s="634" t="str">
        <f>VLOOKUP(B76,Tractor!$B$6:$AE$184,4,0)</f>
        <v>Store &amp; logistics</v>
      </c>
      <c r="F76" s="635" t="str">
        <f>VLOOKUP(B76,Tractor!$B$6:$AE$184,30,0)</f>
        <v>141.158.0031117</v>
      </c>
      <c r="G76" s="636">
        <f>VLOOKUP(B76,Tractor!$B$6:$AE$184,28,0)</f>
        <v>21340</v>
      </c>
      <c r="I76" s="1208"/>
      <c r="J76" s="1211"/>
    </row>
    <row r="77" spans="1:10" s="357" customFormat="1" ht="24" customHeight="1">
      <c r="A77" s="631" t="s">
        <v>778</v>
      </c>
      <c r="B77" s="632" t="s">
        <v>518</v>
      </c>
      <c r="C77" s="633" t="str">
        <f>VLOOKUP(B77,Tractor!$B$6:$AE$184,2,0)</f>
        <v>Asik Ahmed</v>
      </c>
      <c r="D77" s="634" t="str">
        <f>VLOOKUP(B77,Tractor!$B$6:$AE$184,3,0)</f>
        <v>Store Officer</v>
      </c>
      <c r="E77" s="634" t="str">
        <f>VLOOKUP(B77,Tractor!$B$6:$AE$184,4,0)</f>
        <v>Store &amp; logistics</v>
      </c>
      <c r="F77" s="635" t="str">
        <f>VLOOKUP(B77,Tractor!$B$6:$AE$184,30,0)</f>
        <v>194.158.0025183</v>
      </c>
      <c r="G77" s="636">
        <f>VLOOKUP(B77,Tractor!$B$6:$AE$184,28,0)</f>
        <v>21340</v>
      </c>
      <c r="I77" s="1208"/>
      <c r="J77" s="1211"/>
    </row>
    <row r="78" spans="1:10" s="357" customFormat="1" ht="24" customHeight="1">
      <c r="A78" s="631" t="s">
        <v>779</v>
      </c>
      <c r="B78" s="632" t="s">
        <v>87</v>
      </c>
      <c r="C78" s="633" t="str">
        <f>VLOOKUP(B78,Tractor!$B$6:$AE$184,2,0)</f>
        <v>Md. Akter Hossen</v>
      </c>
      <c r="D78" s="634" t="str">
        <f>VLOOKUP(B78,Tractor!$B$6:$AE$184,3,0)</f>
        <v>Office Assistant</v>
      </c>
      <c r="E78" s="634" t="str">
        <f>VLOOKUP(B78,Tractor!$B$6:$AE$184,4,0)</f>
        <v>Admin</v>
      </c>
      <c r="F78" s="635" t="str">
        <f>VLOOKUP(B78,Tractor!$B$6:$AE$184,30,0)</f>
        <v>181.158.0055809</v>
      </c>
      <c r="G78" s="636">
        <f>VLOOKUP(B78,Tractor!$B$6:$AE$184,28,0)</f>
        <v>22370</v>
      </c>
      <c r="I78" s="1208"/>
      <c r="J78" s="1211"/>
    </row>
    <row r="79" spans="1:10" s="357" customFormat="1" ht="24" customHeight="1">
      <c r="A79" s="631" t="s">
        <v>780</v>
      </c>
      <c r="B79" s="632" t="s">
        <v>643</v>
      </c>
      <c r="C79" s="633" t="str">
        <f>VLOOKUP(B79,Tractor!$B$6:$AE$184,2,0)</f>
        <v>Md Soyeb Mamud</v>
      </c>
      <c r="D79" s="634" t="str">
        <f>VLOOKUP(B79,Tractor!$B$6:$AE$184,3,0)</f>
        <v>Store Officer</v>
      </c>
      <c r="E79" s="634" t="str">
        <f>VLOOKUP(B79,Tractor!$B$6:$AE$184,4,0)</f>
        <v>Store &amp; Logistics</v>
      </c>
      <c r="F79" s="635" t="str">
        <f>VLOOKUP(B79,Tractor!$B$6:$AE$184,30,0)</f>
        <v>162.158.0095660</v>
      </c>
      <c r="G79" s="636">
        <f>VLOOKUP(B79,Tractor!$B$6:$AE$184,28,0)</f>
        <v>24250</v>
      </c>
      <c r="I79" s="1208"/>
      <c r="J79" s="1211"/>
    </row>
    <row r="80" spans="1:10" s="357" customFormat="1" ht="24" customHeight="1">
      <c r="A80" s="631" t="s">
        <v>781</v>
      </c>
      <c r="B80" s="632" t="s">
        <v>957</v>
      </c>
      <c r="C80" s="633" t="str">
        <f>VLOOKUP(B80,Tractor!$B$6:$AE$184,2,0)</f>
        <v>Md Rashedul Islam</v>
      </c>
      <c r="D80" s="634" t="str">
        <f>VLOOKUP(B80,Tractor!$B$6:$AE$184,3,0)</f>
        <v>Office Executive</v>
      </c>
      <c r="E80" s="634" t="str">
        <f>VLOOKUP(B80,Tractor!$B$6:$AE$184,4,0)</f>
        <v>Store &amp; Logistics</v>
      </c>
      <c r="F80" s="635" t="str">
        <f>VLOOKUP(B80,Tractor!$B$6:$AE$184,30,0)</f>
        <v>125.157.0069452</v>
      </c>
      <c r="G80" s="636">
        <f>VLOOKUP(B80,Tractor!$B$6:$AE$184,28,0)</f>
        <v>24250</v>
      </c>
      <c r="I80" s="1208"/>
      <c r="J80" s="1211"/>
    </row>
    <row r="81" spans="1:10" s="357" customFormat="1" ht="24" customHeight="1">
      <c r="A81" s="631" t="s">
        <v>782</v>
      </c>
      <c r="B81" s="632" t="s">
        <v>1227</v>
      </c>
      <c r="C81" s="633" t="str">
        <f>VLOOKUP(B81,Tractor!$B$6:$AE$184,2,0)</f>
        <v>Md Enamul Hoque</v>
      </c>
      <c r="D81" s="634" t="str">
        <f>VLOOKUP(B81,Tractor!$B$6:$AE$184,3,0)</f>
        <v>Store Assistant</v>
      </c>
      <c r="E81" s="634" t="str">
        <f>VLOOKUP(B81,Tractor!$B$6:$AE$184,4,0)</f>
        <v>Store &amp; Logistics</v>
      </c>
      <c r="F81" s="635" t="str">
        <f>VLOOKUP(B81,Tractor!$B$6:$AE$184,30,0)</f>
        <v>163.158.0112499</v>
      </c>
      <c r="G81" s="636">
        <f>VLOOKUP(B81,Tractor!$B$6:$AE$184,28,0)</f>
        <v>18000</v>
      </c>
      <c r="I81" s="1208"/>
      <c r="J81" s="1211"/>
    </row>
    <row r="82" spans="1:10" s="357" customFormat="1" ht="24" customHeight="1">
      <c r="A82" s="631" t="s">
        <v>783</v>
      </c>
      <c r="B82" s="632" t="s">
        <v>1371</v>
      </c>
      <c r="C82" s="633" t="str">
        <f>VLOOKUP(B82,Tractor!$B$6:$AE$184,2,0)</f>
        <v>Md Muniruzzaman</v>
      </c>
      <c r="D82" s="634" t="str">
        <f>VLOOKUP(B82,Tractor!$B$6:$AE$184,3,0)</f>
        <v>Store Officer</v>
      </c>
      <c r="E82" s="634" t="str">
        <f>VLOOKUP(B82,Tractor!$B$6:$AE$184,4,0)</f>
        <v>Store &amp; Logistics</v>
      </c>
      <c r="F82" s="635" t="str">
        <f>VLOOKUP(B82,Tractor!$B$6:$AE$184,30,0)</f>
        <v>103.103.1238408</v>
      </c>
      <c r="G82" s="636">
        <f>VLOOKUP(B82,Tractor!$B$6:$AE$184,28,0)</f>
        <v>22000</v>
      </c>
      <c r="I82" s="1208"/>
      <c r="J82" s="1211"/>
    </row>
    <row r="83" spans="1:10" s="357" customFormat="1" ht="24" customHeight="1">
      <c r="A83" s="631" t="s">
        <v>784</v>
      </c>
      <c r="B83" s="632" t="s">
        <v>1081</v>
      </c>
      <c r="C83" s="633" t="str">
        <f>VLOOKUP(B83,Tractor!$B$6:$AE$184,2,0)</f>
        <v>Md Sohel Rana</v>
      </c>
      <c r="D83" s="634" t="str">
        <f>VLOOKUP(B83,Tractor!$B$6:$AE$184,3,0)</f>
        <v>Territory Manager</v>
      </c>
      <c r="E83" s="634" t="str">
        <f>VLOOKUP(B83,Tractor!$B$6:$AE$184,4,0)</f>
        <v>CRRM</v>
      </c>
      <c r="F83" s="635" t="str">
        <f>VLOOKUP(B83,Tractor!$B$6:$AE$184,30,0)</f>
        <v>162.151.0295629</v>
      </c>
      <c r="G83" s="636">
        <f>VLOOKUP(B83,Tractor!$B$6:$AE$184,28,0)</f>
        <v>34685</v>
      </c>
      <c r="I83" s="1208"/>
      <c r="J83" s="1211"/>
    </row>
    <row r="84" spans="1:10" s="357" customFormat="1" ht="24" customHeight="1">
      <c r="A84" s="631" t="s">
        <v>785</v>
      </c>
      <c r="B84" s="632" t="s">
        <v>293</v>
      </c>
      <c r="C84" s="633" t="str">
        <f>VLOOKUP(B84,Tractor!$B$6:$AE$184,2,0)</f>
        <v>Md. Jahangir Kabir</v>
      </c>
      <c r="D84" s="634" t="str">
        <f>VLOOKUP(B84,Tractor!$B$6:$AE$184,3,0)</f>
        <v>Assistant General Manager</v>
      </c>
      <c r="E84" s="634" t="str">
        <f>VLOOKUP(B84,Tractor!$B$6:$AE$184,4,0)</f>
        <v>CRRM</v>
      </c>
      <c r="F84" s="635" t="str">
        <f>VLOOKUP(B84,Tractor!$B$6:$AE$184,30,0)</f>
        <v>103.103.1289224</v>
      </c>
      <c r="G84" s="636">
        <f>VLOOKUP(B84,Tractor!$B$6:$AE$184,28,0)</f>
        <v>86013</v>
      </c>
      <c r="I84" s="1208"/>
      <c r="J84" s="1211"/>
    </row>
    <row r="85" spans="1:10" s="357" customFormat="1" ht="24" customHeight="1">
      <c r="A85" s="631" t="s">
        <v>786</v>
      </c>
      <c r="B85" s="632" t="s">
        <v>1202</v>
      </c>
      <c r="C85" s="633" t="str">
        <f>VLOOKUP(B85,Tractor!$B$6:$AE$184,2,0)</f>
        <v>Md Shariful Islam</v>
      </c>
      <c r="D85" s="634" t="str">
        <f>VLOOKUP(B85,Tractor!$B$6:$AE$184,3,0)</f>
        <v>Sr. Manager</v>
      </c>
      <c r="E85" s="634" t="str">
        <f>VLOOKUP(B85,Tractor!$B$6:$AE$184,4,0)</f>
        <v>CRRM</v>
      </c>
      <c r="F85" s="635" t="str">
        <f>VLOOKUP(B85,Tractor!$B$6:$AE$184,30,0)</f>
        <v>103.103.1394001</v>
      </c>
      <c r="G85" s="636">
        <f>VLOOKUP(B85,Tractor!$B$6:$AE$184,28,0)</f>
        <v>49583</v>
      </c>
      <c r="I85" s="1208"/>
      <c r="J85" s="1211"/>
    </row>
    <row r="86" spans="1:10" s="357" customFormat="1" ht="24" customHeight="1">
      <c r="A86" s="631" t="s">
        <v>787</v>
      </c>
      <c r="B86" s="632" t="s">
        <v>1225</v>
      </c>
      <c r="C86" s="633" t="str">
        <f>VLOOKUP(B86,Tractor!$B$6:$AE$184,2,0)</f>
        <v>Abdush Salam Pappu</v>
      </c>
      <c r="D86" s="634" t="str">
        <f>VLOOKUP(B86,Tractor!$B$6:$AE$184,3,0)</f>
        <v>Sr. Recovery Officer</v>
      </c>
      <c r="E86" s="634" t="str">
        <f>VLOOKUP(B86,Tractor!$B$6:$AE$184,4,0)</f>
        <v>CRRM</v>
      </c>
      <c r="F86" s="635" t="str">
        <f>VLOOKUP(B86,Tractor!$B$6:$AE$184,30,0)</f>
        <v>204.103.0063931</v>
      </c>
      <c r="G86" s="636">
        <f>VLOOKUP(B86,Tractor!$B$6:$AE$184,28,0)</f>
        <v>28000</v>
      </c>
      <c r="I86" s="1208"/>
      <c r="J86" s="1211"/>
    </row>
    <row r="87" spans="1:10" s="357" customFormat="1" ht="24" customHeight="1">
      <c r="A87" s="631" t="s">
        <v>788</v>
      </c>
      <c r="B87" s="632" t="s">
        <v>1279</v>
      </c>
      <c r="C87" s="633" t="str">
        <f>VLOOKUP(B87,Tractor!$B$6:$AE$184,2,0)</f>
        <v>Suzit Kumar Roy</v>
      </c>
      <c r="D87" s="634" t="str">
        <f>VLOOKUP(B87,Tractor!$B$6:$AE$184,3,0)</f>
        <v>Sr. Recovery Officer</v>
      </c>
      <c r="E87" s="634" t="str">
        <f>VLOOKUP(B87,Tractor!$B$6:$AE$184,4,0)</f>
        <v>CRRM</v>
      </c>
      <c r="F87" s="635" t="str">
        <f>VLOOKUP(B87,Tractor!$B$6:$AE$184,30,0)</f>
        <v>103.103.1279247</v>
      </c>
      <c r="G87" s="636">
        <f>VLOOKUP(B87,Tractor!$B$6:$AE$184,28,0)</f>
        <v>28000</v>
      </c>
      <c r="I87" s="1208"/>
      <c r="J87" s="1211"/>
    </row>
    <row r="88" spans="1:10" s="357" customFormat="1" ht="24" customHeight="1">
      <c r="A88" s="631" t="s">
        <v>789</v>
      </c>
      <c r="B88" s="632" t="s">
        <v>273</v>
      </c>
      <c r="C88" s="633" t="str">
        <f>VLOOKUP(B88,Tractor!$B$6:$AE$184,2,0)</f>
        <v>Md. Ali Reza Manik</v>
      </c>
      <c r="D88" s="634" t="str">
        <f>VLOOKUP(B88,Tractor!$B$6:$AE$184,3,0)</f>
        <v>Deputy Regional Manager</v>
      </c>
      <c r="E88" s="634" t="str">
        <f>VLOOKUP(B88,Tractor!$B$6:$AE$184,4,0)</f>
        <v>S&amp;M</v>
      </c>
      <c r="F88" s="635" t="str">
        <f>VLOOKUP(B88,Tractor!$B$6:$AE$184,30,0)</f>
        <v>209.151.0118305</v>
      </c>
      <c r="G88" s="636">
        <f>VLOOKUP(B88,Tractor!$B$6:$AE$184,28,0)</f>
        <v>50508</v>
      </c>
      <c r="I88" s="1208"/>
      <c r="J88" s="1211"/>
    </row>
    <row r="89" spans="1:10" s="357" customFormat="1" ht="24" customHeight="1">
      <c r="A89" s="631" t="s">
        <v>790</v>
      </c>
      <c r="B89" s="632" t="s">
        <v>211</v>
      </c>
      <c r="C89" s="633" t="str">
        <f>VLOOKUP(B89,Tractor!$B$6:$AE$184,2,0)</f>
        <v>Sumon Babu</v>
      </c>
      <c r="D89" s="634" t="str">
        <f>VLOOKUP(B89,Tractor!$B$6:$AE$184,3,0)</f>
        <v>Territory Sales Officer</v>
      </c>
      <c r="E89" s="634" t="str">
        <f>VLOOKUP(B89,Tractor!$B$6:$AE$184,4,0)</f>
        <v>S&amp;M</v>
      </c>
      <c r="F89" s="635" t="str">
        <f>VLOOKUP(B89,Tractor!$B$6:$AE$184,30,0)</f>
        <v>204.103.0060831</v>
      </c>
      <c r="G89" s="636">
        <f>VLOOKUP(B89,Tractor!$B$6:$AE$184,28,0)</f>
        <v>28042</v>
      </c>
      <c r="I89" s="1208"/>
      <c r="J89" s="1211"/>
    </row>
    <row r="90" spans="1:10" s="357" customFormat="1" ht="24" customHeight="1">
      <c r="A90" s="631" t="s">
        <v>791</v>
      </c>
      <c r="B90" s="632" t="s">
        <v>219</v>
      </c>
      <c r="C90" s="633" t="str">
        <f>VLOOKUP(B90,Tractor!$B$6:$AE$184,2,0)</f>
        <v>Md. Mizanur Rahman</v>
      </c>
      <c r="D90" s="634" t="str">
        <f>VLOOKUP(B90,Tractor!$B$6:$AE$184,3,0)</f>
        <v>Territory Manager</v>
      </c>
      <c r="E90" s="634" t="str">
        <f>VLOOKUP(B90,Tractor!$B$6:$AE$184,4,0)</f>
        <v>S&amp;M</v>
      </c>
      <c r="F90" s="635" t="str">
        <f>VLOOKUP(B90,Tractor!$B$6:$AE$184,30,0)</f>
        <v>220.101.0010720</v>
      </c>
      <c r="G90" s="636">
        <f>VLOOKUP(B90,Tractor!$B$6:$AE$184,28,0)</f>
        <v>49318</v>
      </c>
      <c r="I90" s="1208"/>
      <c r="J90" s="1211"/>
    </row>
    <row r="91" spans="1:10" s="357" customFormat="1" ht="24" customHeight="1">
      <c r="A91" s="631" t="s">
        <v>792</v>
      </c>
      <c r="B91" s="632" t="s">
        <v>229</v>
      </c>
      <c r="C91" s="633" t="str">
        <f>VLOOKUP(B91,Tractor!$B$6:$AE$184,2,0)</f>
        <v>Md. Manjurul Hoque</v>
      </c>
      <c r="D91" s="634" t="str">
        <f>VLOOKUP(B91,Tractor!$B$6:$AE$184,3,0)</f>
        <v>Sr. Territory Sales officer</v>
      </c>
      <c r="E91" s="634" t="str">
        <f>VLOOKUP(B91,Tractor!$B$6:$AE$184,4,0)</f>
        <v>S&amp;M</v>
      </c>
      <c r="F91" s="635" t="str">
        <f>VLOOKUP(B91,Tractor!$B$6:$AE$184,30,0)</f>
        <v>263.158.0009563</v>
      </c>
      <c r="G91" s="636">
        <f>VLOOKUP(B91,Tractor!$B$6:$AE$184,28,0)</f>
        <v>28527</v>
      </c>
      <c r="I91" s="1208"/>
      <c r="J91" s="1211"/>
    </row>
    <row r="92" spans="1:10" s="357" customFormat="1" ht="24" customHeight="1">
      <c r="A92" s="631" t="s">
        <v>793</v>
      </c>
      <c r="B92" s="632" t="s">
        <v>232</v>
      </c>
      <c r="C92" s="633" t="str">
        <f>VLOOKUP(B92,Tractor!$B$6:$AE$184,2,0)</f>
        <v>Shahadat Hossain</v>
      </c>
      <c r="D92" s="634" t="str">
        <f>VLOOKUP(B92,Tractor!$B$6:$AE$184,3,0)</f>
        <v>Territory Sales officer</v>
      </c>
      <c r="E92" s="634" t="str">
        <f>VLOOKUP(B92,Tractor!$B$6:$AE$184,4,0)</f>
        <v>S&amp;M</v>
      </c>
      <c r="F92" s="635" t="str">
        <f>VLOOKUP(B92,Tractor!$B$6:$AE$184,30,0)</f>
        <v>162.158.0036284</v>
      </c>
      <c r="G92" s="636">
        <f>VLOOKUP(B92,Tractor!$B$6:$AE$184,28,0)</f>
        <v>25132</v>
      </c>
      <c r="I92" s="1208"/>
      <c r="J92" s="1211"/>
    </row>
    <row r="93" spans="1:10" s="357" customFormat="1" ht="24" customHeight="1">
      <c r="A93" s="631" t="s">
        <v>794</v>
      </c>
      <c r="B93" s="632" t="s">
        <v>238</v>
      </c>
      <c r="C93" s="633" t="str">
        <f>VLOOKUP(B93,Tractor!$B$6:$AE$184,2,0)</f>
        <v>Mamun Chowdhury</v>
      </c>
      <c r="D93" s="634" t="str">
        <f>VLOOKUP(B93,Tractor!$B$6:$AE$184,3,0)</f>
        <v>Territory Sales officer(Stemz)</v>
      </c>
      <c r="E93" s="634" t="str">
        <f>VLOOKUP(B93,Tractor!$B$6:$AE$184,4,0)</f>
        <v>S&amp;M</v>
      </c>
      <c r="F93" s="635" t="str">
        <f>VLOOKUP(B93,Tractor!$B$6:$AE$184,30,0)</f>
        <v>302.158.0011118</v>
      </c>
      <c r="G93" s="636">
        <f>VLOOKUP(B93,Tractor!$B$6:$AE$184,28,0)</f>
        <v>27220</v>
      </c>
      <c r="I93" s="1208"/>
      <c r="J93" s="1211"/>
    </row>
    <row r="94" spans="1:10" s="357" customFormat="1" ht="24" customHeight="1">
      <c r="A94" s="631" t="s">
        <v>795</v>
      </c>
      <c r="B94" s="632" t="s">
        <v>247</v>
      </c>
      <c r="C94" s="633" t="str">
        <f>VLOOKUP(B94,Tractor!$B$6:$AE$184,2,0)</f>
        <v>Md. Ibrahim Miah</v>
      </c>
      <c r="D94" s="634" t="str">
        <f>VLOOKUP(B94,Tractor!$B$6:$AE$184,3,0)</f>
        <v>Sr. Regional Manager</v>
      </c>
      <c r="E94" s="634" t="str">
        <f>VLOOKUP(B94,Tractor!$B$6:$AE$184,4,0)</f>
        <v>S&amp;M</v>
      </c>
      <c r="F94" s="635" t="str">
        <f>VLOOKUP(B94,Tractor!$B$6:$AE$184,30,0)</f>
        <v>135.151.0113365</v>
      </c>
      <c r="G94" s="636">
        <f>VLOOKUP(B94,Tractor!$B$6:$AE$184,28,0)</f>
        <v>67483</v>
      </c>
      <c r="I94" s="1208"/>
      <c r="J94" s="1211"/>
    </row>
    <row r="95" spans="1:10" s="357" customFormat="1" ht="24" customHeight="1">
      <c r="A95" s="631" t="s">
        <v>796</v>
      </c>
      <c r="B95" s="632" t="s">
        <v>261</v>
      </c>
      <c r="C95" s="633" t="str">
        <f>VLOOKUP(B95,Tractor!$B$6:$AE$184,2,0)</f>
        <v>Md. Sultan Mahmud</v>
      </c>
      <c r="D95" s="634" t="str">
        <f>VLOOKUP(B95,Tractor!$B$6:$AE$184,3,0)</f>
        <v>AGM</v>
      </c>
      <c r="E95" s="634" t="str">
        <f>VLOOKUP(B95,Tractor!$B$6:$AE$184,4,0)</f>
        <v>Int. sales (Tender)</v>
      </c>
      <c r="F95" s="635" t="str">
        <f>VLOOKUP(B95,Tractor!$B$6:$AE$184,30,0)</f>
        <v>103.103.1252565</v>
      </c>
      <c r="G95" s="636">
        <f>VLOOKUP(B95,Tractor!$B$6:$AE$184,28,0)</f>
        <v>86013</v>
      </c>
      <c r="I95" s="1208"/>
      <c r="J95" s="1211"/>
    </row>
    <row r="96" spans="1:10" s="357" customFormat="1" ht="24" customHeight="1">
      <c r="A96" s="631" t="s">
        <v>797</v>
      </c>
      <c r="B96" s="632" t="s">
        <v>250</v>
      </c>
      <c r="C96" s="633" t="str">
        <f>VLOOKUP(B96,Tractor!$B$6:$AE$184,2,0)</f>
        <v>Md. Azharul Islam</v>
      </c>
      <c r="D96" s="634" t="str">
        <f>VLOOKUP(B96,Tractor!$B$6:$AE$184,3,0)</f>
        <v>STSO</v>
      </c>
      <c r="E96" s="634" t="str">
        <f>VLOOKUP(B96,Tractor!$B$6:$AE$184,4,0)</f>
        <v>S&amp;M</v>
      </c>
      <c r="F96" s="635" t="str">
        <f>VLOOKUP(B96,Tractor!$B$6:$AE$184,30,0)</f>
        <v>241.158.0013093</v>
      </c>
      <c r="G96" s="636">
        <f>VLOOKUP(B96,Tractor!$B$6:$AE$184,28,0)</f>
        <v>41293</v>
      </c>
      <c r="I96" s="1208"/>
      <c r="J96" s="1211"/>
    </row>
    <row r="97" spans="1:10" s="357" customFormat="1" ht="24" customHeight="1">
      <c r="A97" s="631" t="s">
        <v>798</v>
      </c>
      <c r="B97" s="632" t="s">
        <v>296</v>
      </c>
      <c r="C97" s="633" t="str">
        <f>VLOOKUP(B97,Tractor!$B$6:$AE$184,2,0)</f>
        <v>Md. Atoar Rahman</v>
      </c>
      <c r="D97" s="634" t="str">
        <f>VLOOKUP(B97,Tractor!$B$6:$AE$184,3,0)</f>
        <v>DRM (Sales &amp; Recovery)</v>
      </c>
      <c r="E97" s="634" t="str">
        <f>VLOOKUP(B97,Tractor!$B$6:$AE$184,4,0)</f>
        <v>CRRM</v>
      </c>
      <c r="F97" s="635" t="str">
        <f>VLOOKUP(B97,Tractor!$B$6:$AE$184,30,0)</f>
        <v>172.158.0037187</v>
      </c>
      <c r="G97" s="636">
        <f>VLOOKUP(B97,Tractor!$B$6:$AE$184,28,0)</f>
        <v>45852</v>
      </c>
      <c r="I97" s="1208"/>
      <c r="J97" s="1211"/>
    </row>
    <row r="98" spans="1:10" s="357" customFormat="1" ht="24" customHeight="1">
      <c r="A98" s="631" t="s">
        <v>799</v>
      </c>
      <c r="B98" s="632" t="s">
        <v>284</v>
      </c>
      <c r="C98" s="633" t="str">
        <f>VLOOKUP(B98,Tractor!$B$6:$AE$184,2,0)</f>
        <v>Jikrul Islam</v>
      </c>
      <c r="D98" s="634" t="str">
        <f>VLOOKUP(B98,Tractor!$B$6:$AE$184,3,0)</f>
        <v>TSO</v>
      </c>
      <c r="E98" s="634" t="str">
        <f>VLOOKUP(B98,Tractor!$B$6:$AE$184,4,0)</f>
        <v>S&amp;M</v>
      </c>
      <c r="F98" s="635" t="str">
        <f>VLOOKUP(B98,Tractor!$B$6:$AE$184,30,0)</f>
        <v>318.103.0003224</v>
      </c>
      <c r="G98" s="636">
        <f>VLOOKUP(B98,Tractor!$B$6:$AE$184,28,0)</f>
        <v>19468</v>
      </c>
      <c r="I98" s="1208"/>
      <c r="J98" s="1211"/>
    </row>
    <row r="99" spans="1:10" s="357" customFormat="1" ht="24" customHeight="1">
      <c r="A99" s="631" t="s">
        <v>800</v>
      </c>
      <c r="B99" s="632" t="s">
        <v>1090</v>
      </c>
      <c r="C99" s="633" t="str">
        <f>VLOOKUP(B99,Tractor!$B$6:$AE$184,2,0)</f>
        <v>Md Jahid Hasan</v>
      </c>
      <c r="D99" s="634" t="str">
        <f>VLOOKUP(B99,Tractor!$B$6:$AE$184,3,0)</f>
        <v>Asst. Regional Manager</v>
      </c>
      <c r="E99" s="634" t="str">
        <f>VLOOKUP(B99,Tractor!$B$6:$AE$184,4,0)</f>
        <v>S&amp;M</v>
      </c>
      <c r="F99" s="635" t="str">
        <f>VLOOKUP(B99,Tractor!$B$6:$AE$184,30,0)</f>
        <v>152.157.0015930</v>
      </c>
      <c r="G99" s="636">
        <f>VLOOKUP(B99,Tractor!$B$6:$AE$184,28,0)</f>
        <v>41073</v>
      </c>
      <c r="I99" s="1208"/>
      <c r="J99" s="1211"/>
    </row>
    <row r="100" spans="1:10" s="357" customFormat="1" ht="24" customHeight="1">
      <c r="A100" s="631" t="s">
        <v>801</v>
      </c>
      <c r="B100" s="632" t="s">
        <v>276</v>
      </c>
      <c r="C100" s="633" t="str">
        <f>VLOOKUP(B100,Tractor!$B$6:$AE$184,2,0)</f>
        <v>Md. Moshiur Rahman</v>
      </c>
      <c r="D100" s="634" t="str">
        <f>VLOOKUP(B100,Tractor!$B$6:$AE$184,3,0)</f>
        <v>Rgional Manager</v>
      </c>
      <c r="E100" s="634" t="str">
        <f>VLOOKUP(B100,Tractor!$B$6:$AE$184,4,0)</f>
        <v>S&amp;M</v>
      </c>
      <c r="F100" s="635" t="str">
        <f>VLOOKUP(B100,Tractor!$B$6:$AE$184,30,0)</f>
        <v>162.158.0069228</v>
      </c>
      <c r="G100" s="636">
        <f>VLOOKUP(B100,Tractor!$B$6:$AE$184,28,0)</f>
        <v>72515</v>
      </c>
      <c r="I100" s="1208"/>
      <c r="J100" s="1211"/>
    </row>
    <row r="101" spans="1:10" s="357" customFormat="1" ht="24" customHeight="1">
      <c r="A101" s="631" t="s">
        <v>802</v>
      </c>
      <c r="B101" s="632" t="s">
        <v>270</v>
      </c>
      <c r="C101" s="633" t="str">
        <f>VLOOKUP(B101,Tractor!$B$6:$AE$184,2,0)</f>
        <v>Md. Shafiqul Islam</v>
      </c>
      <c r="D101" s="634" t="str">
        <f>VLOOKUP(B101,Tractor!$B$6:$AE$184,3,0)</f>
        <v>Sr. Territory Manager</v>
      </c>
      <c r="E101" s="634" t="str">
        <f>VLOOKUP(B101,Tractor!$B$6:$AE$184,4,0)</f>
        <v>S&amp;M</v>
      </c>
      <c r="F101" s="635" t="str">
        <f>VLOOKUP(B101,Tractor!$B$6:$AE$184,30,0)</f>
        <v>141.158.0028130</v>
      </c>
      <c r="G101" s="636">
        <f>VLOOKUP(B101,Tractor!$B$6:$AE$184,28,0)</f>
        <v>46987</v>
      </c>
      <c r="I101" s="1208"/>
      <c r="J101" s="1211"/>
    </row>
    <row r="102" spans="1:10" s="357" customFormat="1" ht="24" customHeight="1">
      <c r="A102" s="631" t="s">
        <v>803</v>
      </c>
      <c r="B102" s="632" t="s">
        <v>287</v>
      </c>
      <c r="C102" s="633" t="str">
        <f>VLOOKUP(B102,Tractor!$B$6:$AE$184,2,0)</f>
        <v>Mizanur Rahman Mizan</v>
      </c>
      <c r="D102" s="634" t="str">
        <f>VLOOKUP(B102,Tractor!$B$6:$AE$184,3,0)</f>
        <v>TSO</v>
      </c>
      <c r="E102" s="634" t="str">
        <f>VLOOKUP(B102,Tractor!$B$6:$AE$184,4,0)</f>
        <v>S&amp;M</v>
      </c>
      <c r="F102" s="635" t="str">
        <f>VLOOKUP(B102,Tractor!$B$6:$AE$184,30,0)</f>
        <v>318.103.0003219</v>
      </c>
      <c r="G102" s="636">
        <f>VLOOKUP(B102,Tractor!$B$6:$AE$184,28,0)</f>
        <v>20767</v>
      </c>
      <c r="I102" s="1208"/>
      <c r="J102" s="1211"/>
    </row>
    <row r="103" spans="1:10" s="357" customFormat="1" ht="24" customHeight="1">
      <c r="A103" s="631" t="s">
        <v>804</v>
      </c>
      <c r="B103" s="632" t="s">
        <v>550</v>
      </c>
      <c r="C103" s="633" t="str">
        <f>VLOOKUP(B103,Tractor!$B$6:$AE$184,2,0)</f>
        <v>Md. Shofiqul Islam</v>
      </c>
      <c r="D103" s="634" t="str">
        <f>VLOOKUP(B103,Tractor!$B$6:$AE$184,3,0)</f>
        <v>Asst. Territory Manager</v>
      </c>
      <c r="E103" s="634" t="str">
        <f>VLOOKUP(B103,Tractor!$B$6:$AE$184,4,0)</f>
        <v>S&amp;M</v>
      </c>
      <c r="F103" s="635" t="str">
        <f>VLOOKUP(B103,Tractor!$B$6:$AE$184,30,0)</f>
        <v>219.151.0119185</v>
      </c>
      <c r="G103" s="636">
        <f>VLOOKUP(B103,Tractor!$B$6:$AE$184,28,0)</f>
        <v>28199</v>
      </c>
      <c r="I103" s="1208"/>
      <c r="J103" s="1211"/>
    </row>
    <row r="104" spans="1:10" s="357" customFormat="1" ht="24" customHeight="1">
      <c r="A104" s="631" t="s">
        <v>805</v>
      </c>
      <c r="B104" s="632" t="s">
        <v>553</v>
      </c>
      <c r="C104" s="633" t="str">
        <f>VLOOKUP(B104,Tractor!$B$6:$AE$184,2,0)</f>
        <v>Md. Maznur Rahman</v>
      </c>
      <c r="D104" s="634" t="str">
        <f>VLOOKUP(B104,Tractor!$B$6:$AE$184,3,0)</f>
        <v>Regional Manager</v>
      </c>
      <c r="E104" s="634" t="str">
        <f>VLOOKUP(B104,Tractor!$B$6:$AE$184,4,0)</f>
        <v>S&amp;M</v>
      </c>
      <c r="F104" s="635" t="str">
        <f>VLOOKUP(B104,Tractor!$B$6:$AE$184,30,0)</f>
        <v>163.157.0014868</v>
      </c>
      <c r="G104" s="636">
        <f>VLOOKUP(B104,Tractor!$B$6:$AE$184,28,0)</f>
        <v>53418</v>
      </c>
      <c r="I104" s="1208"/>
      <c r="J104" s="1211"/>
    </row>
    <row r="105" spans="1:10" s="357" customFormat="1" ht="24" customHeight="1">
      <c r="A105" s="631" t="s">
        <v>806</v>
      </c>
      <c r="B105" s="632" t="s">
        <v>556</v>
      </c>
      <c r="C105" s="633" t="str">
        <f>VLOOKUP(B105,Tractor!$B$6:$AE$184,2,0)</f>
        <v>Dilip Kumar Barmon</v>
      </c>
      <c r="D105" s="634" t="str">
        <f>VLOOKUP(B105,Tractor!$B$6:$AE$184,3,0)</f>
        <v>STSO</v>
      </c>
      <c r="E105" s="634" t="str">
        <f>VLOOKUP(B105,Tractor!$B$6:$AE$184,4,0)</f>
        <v>S&amp;M</v>
      </c>
      <c r="F105" s="635" t="str">
        <f>VLOOKUP(B105,Tractor!$B$6:$AE$184,30,0)</f>
        <v>302.158.0031497</v>
      </c>
      <c r="G105" s="636">
        <f>VLOOKUP(B105,Tractor!$B$6:$AE$184,28,0)</f>
        <v>30392</v>
      </c>
      <c r="I105" s="1208"/>
      <c r="J105" s="1211"/>
    </row>
    <row r="106" spans="1:10" s="357" customFormat="1" ht="24" customHeight="1">
      <c r="A106" s="631" t="s">
        <v>807</v>
      </c>
      <c r="B106" s="632" t="s">
        <v>591</v>
      </c>
      <c r="C106" s="633" t="str">
        <f>VLOOKUP(B106,Tractor!$B$6:$AE$184,2,0)</f>
        <v>Sohid Ali</v>
      </c>
      <c r="D106" s="634" t="str">
        <f>VLOOKUP(B106,Tractor!$B$6:$AE$184,3,0)</f>
        <v>ATSO</v>
      </c>
      <c r="E106" s="634" t="str">
        <f>VLOOKUP(B106,Tractor!$B$6:$AE$184,4,0)</f>
        <v>S&amp;M</v>
      </c>
      <c r="F106" s="635" t="str">
        <f>VLOOKUP(B106,Tractor!$B$6:$AE$184,30,0)</f>
        <v>219.158.0030624</v>
      </c>
      <c r="G106" s="636">
        <f>VLOOKUP(B106,Tractor!$B$6:$AE$184,28,0)</f>
        <v>20538</v>
      </c>
      <c r="I106" s="1208"/>
      <c r="J106" s="1211"/>
    </row>
    <row r="107" spans="1:10" s="357" customFormat="1" ht="24" customHeight="1">
      <c r="A107" s="631" t="s">
        <v>808</v>
      </c>
      <c r="B107" s="632" t="s">
        <v>593</v>
      </c>
      <c r="C107" s="633" t="str">
        <f>VLOOKUP(B107,Tractor!$B$6:$AE$184,2,0)</f>
        <v>Syed Zamiul Haque</v>
      </c>
      <c r="D107" s="634" t="str">
        <f>VLOOKUP(B107,Tractor!$B$6:$AE$184,3,0)</f>
        <v>TSO</v>
      </c>
      <c r="E107" s="634" t="str">
        <f>VLOOKUP(B107,Tractor!$B$6:$AE$184,4,0)</f>
        <v>S&amp;M</v>
      </c>
      <c r="F107" s="635" t="str">
        <f>VLOOKUP(B107,Tractor!$B$6:$AE$184,30,0)</f>
        <v>242.158.0043602</v>
      </c>
      <c r="G107" s="636">
        <f>VLOOKUP(B107,Tractor!$B$6:$AE$184,28,0)</f>
        <v>21340</v>
      </c>
      <c r="I107" s="1208"/>
      <c r="J107" s="1211"/>
    </row>
    <row r="108" spans="1:10" s="357" customFormat="1" ht="24" customHeight="1">
      <c r="A108" s="631" t="s">
        <v>809</v>
      </c>
      <c r="B108" s="632" t="s">
        <v>619</v>
      </c>
      <c r="C108" s="633" t="str">
        <f>VLOOKUP(B108,Tractor!$B$6:$AE$184,2,0)</f>
        <v>Md Shahjahan Ali</v>
      </c>
      <c r="D108" s="634" t="str">
        <f>VLOOKUP(B108,Tractor!$B$6:$AE$184,3,0)</f>
        <v>Sr. Territory Sales officer</v>
      </c>
      <c r="E108" s="634" t="str">
        <f>VLOOKUP(B108,Tractor!$B$6:$AE$184,4,0)</f>
        <v>S&amp;M</v>
      </c>
      <c r="F108" s="635" t="str">
        <f>VLOOKUP(B108,Tractor!$B$6:$AE$184,30,0)</f>
        <v>175.158.0044155</v>
      </c>
      <c r="G108" s="636">
        <f>VLOOKUP(B108,Tractor!$B$6:$AE$184,28,0)</f>
        <v>26869</v>
      </c>
      <c r="I108" s="1208"/>
      <c r="J108" s="1211"/>
    </row>
    <row r="109" spans="1:10" s="357" customFormat="1" ht="24" customHeight="1">
      <c r="A109" s="631" t="s">
        <v>810</v>
      </c>
      <c r="B109" s="632" t="s">
        <v>639</v>
      </c>
      <c r="C109" s="633" t="str">
        <f>VLOOKUP(B109,Tractor!$B$6:$AE$184,2,0)</f>
        <v>Md. Shariful Islam</v>
      </c>
      <c r="D109" s="634" t="str">
        <f>VLOOKUP(B109,Tractor!$B$6:$AE$184,3,0)</f>
        <v>STSO</v>
      </c>
      <c r="E109" s="634" t="str">
        <f>VLOOKUP(B109,Tractor!$B$6:$AE$184,4,0)</f>
        <v>S&amp;M</v>
      </c>
      <c r="F109" s="635" t="str">
        <f>VLOOKUP(B109,Tractor!$B$6:$AE$184,30,0)</f>
        <v>169.151.0074605</v>
      </c>
      <c r="G109" s="636">
        <f>VLOOKUP(B109,Tractor!$B$6:$AE$184,28,0)</f>
        <v>24162</v>
      </c>
      <c r="I109" s="1208"/>
      <c r="J109" s="1211"/>
    </row>
    <row r="110" spans="1:10" s="357" customFormat="1" ht="24" customHeight="1">
      <c r="A110" s="631" t="s">
        <v>811</v>
      </c>
      <c r="B110" s="632" t="s">
        <v>648</v>
      </c>
      <c r="C110" s="633" t="str">
        <f>VLOOKUP(B110,Tractor!$B$6:$AE$184,2,0)</f>
        <v>B M Abul Hasnath</v>
      </c>
      <c r="D110" s="634" t="str">
        <f>VLOOKUP(B110,Tractor!$B$6:$AE$184,3,0)</f>
        <v>ATM</v>
      </c>
      <c r="E110" s="634" t="str">
        <f>VLOOKUP(B110,Tractor!$B$6:$AE$184,4,0)</f>
        <v>S&amp;M</v>
      </c>
      <c r="F110" s="635" t="str">
        <f>VLOOKUP(B110,Tractor!$B$6:$AE$184,30,0)</f>
        <v>283.158.0025980</v>
      </c>
      <c r="G110" s="636">
        <f>VLOOKUP(B110,Tractor!$B$6:$AE$184,28,0)</f>
        <v>28130</v>
      </c>
      <c r="I110" s="1208"/>
      <c r="J110" s="1211"/>
    </row>
    <row r="111" spans="1:10" s="357" customFormat="1" ht="24" customHeight="1">
      <c r="A111" s="631" t="s">
        <v>812</v>
      </c>
      <c r="B111" s="632" t="s">
        <v>883</v>
      </c>
      <c r="C111" s="633" t="str">
        <f>VLOOKUP(B111,Tractor!$B$6:$AE$184,2,0)</f>
        <v>Md Rumman Shaikh</v>
      </c>
      <c r="D111" s="634" t="str">
        <f>VLOOKUP(B111,Tractor!$B$6:$AE$184,3,0)</f>
        <v>Zonal Manager</v>
      </c>
      <c r="E111" s="634" t="str">
        <f>VLOOKUP(B111,Tractor!$B$6:$AE$184,4,0)</f>
        <v>S&amp;M</v>
      </c>
      <c r="F111" s="635" t="str">
        <f>VLOOKUP(B111,Tractor!$B$6:$AE$184,30,0)</f>
        <v>163.158.0088597</v>
      </c>
      <c r="G111" s="636">
        <f>VLOOKUP(B111,Tractor!$B$6:$AE$184,28,0)</f>
        <v>58802</v>
      </c>
      <c r="I111" s="1208"/>
      <c r="J111" s="1211"/>
    </row>
    <row r="112" spans="1:10" s="357" customFormat="1" ht="24" customHeight="1">
      <c r="A112" s="631" t="s">
        <v>813</v>
      </c>
      <c r="B112" s="632" t="s">
        <v>886</v>
      </c>
      <c r="C112" s="633" t="str">
        <f>VLOOKUP(B112,Tractor!$B$6:$AE$184,2,0)</f>
        <v>Md Liaqueat Ali</v>
      </c>
      <c r="D112" s="634" t="str">
        <f>VLOOKUP(B112,Tractor!$B$6:$AE$184,3,0)</f>
        <v>Zonal Manager</v>
      </c>
      <c r="E112" s="634" t="str">
        <f>VLOOKUP(B112,Tractor!$B$6:$AE$184,4,0)</f>
        <v>S&amp;M</v>
      </c>
      <c r="F112" s="635" t="str">
        <f>VLOOKUP(B112,Tractor!$B$6:$AE$184,30,0)</f>
        <v>103.103.0171206</v>
      </c>
      <c r="G112" s="636">
        <f>VLOOKUP(B112,Tractor!$B$6:$AE$184,28,0)</f>
        <v>78282</v>
      </c>
      <c r="I112" s="1208"/>
      <c r="J112" s="1211"/>
    </row>
    <row r="113" spans="1:10" s="357" customFormat="1" ht="24" customHeight="1">
      <c r="A113" s="631" t="s">
        <v>814</v>
      </c>
      <c r="B113" s="632" t="s">
        <v>895</v>
      </c>
      <c r="C113" s="633" t="str">
        <f>VLOOKUP(B113,Tractor!$B$6:$AE$184,2,0)</f>
        <v>Hiru Miah</v>
      </c>
      <c r="D113" s="634" t="str">
        <f>VLOOKUP(B113,Tractor!$B$6:$AE$184,3,0)</f>
        <v>Sr. Territory Sales officer</v>
      </c>
      <c r="E113" s="634" t="str">
        <f>VLOOKUP(B113,Tractor!$B$6:$AE$184,4,0)</f>
        <v>S&amp;M</v>
      </c>
      <c r="F113" s="635" t="str">
        <f>VLOOKUP(B113,Tractor!$B$6:$AE$184,30,0)</f>
        <v>262.103.0013079</v>
      </c>
      <c r="G113" s="636">
        <f>VLOOKUP(B113,Tractor!$B$6:$AE$184,28,0)</f>
        <v>25970</v>
      </c>
      <c r="I113" s="1208"/>
      <c r="J113" s="1211"/>
    </row>
    <row r="114" spans="1:10" s="357" customFormat="1" ht="24" customHeight="1">
      <c r="A114" s="631" t="s">
        <v>815</v>
      </c>
      <c r="B114" s="632" t="s">
        <v>899</v>
      </c>
      <c r="C114" s="633" t="str">
        <f>VLOOKUP(B114,Tractor!$B$6:$AE$184,2,0)</f>
        <v>Md Noor Islam</v>
      </c>
      <c r="D114" s="634" t="str">
        <f>VLOOKUP(B114,Tractor!$B$6:$AE$184,3,0)</f>
        <v>Sr. Territory Sales officer</v>
      </c>
      <c r="E114" s="634" t="str">
        <f>VLOOKUP(B114,Tractor!$B$6:$AE$184,4,0)</f>
        <v>S&amp;M</v>
      </c>
      <c r="F114" s="635" t="str">
        <f>VLOOKUP(B114,Tractor!$B$6:$AE$184,30,0)</f>
        <v>302.158.0003887</v>
      </c>
      <c r="G114" s="636">
        <f>VLOOKUP(B114,Tractor!$B$6:$AE$184,28,0)</f>
        <v>23060</v>
      </c>
      <c r="I114" s="1208"/>
      <c r="J114" s="1211"/>
    </row>
    <row r="115" spans="1:10" s="357" customFormat="1" ht="24" customHeight="1">
      <c r="A115" s="631" t="s">
        <v>816</v>
      </c>
      <c r="B115" s="632" t="s">
        <v>901</v>
      </c>
      <c r="C115" s="633" t="str">
        <f>VLOOKUP(B115,Tractor!$B$6:$AE$184,2,0)</f>
        <v>Md Rakibul Hasan</v>
      </c>
      <c r="D115" s="634" t="str">
        <f>VLOOKUP(B115,Tractor!$B$6:$AE$184,3,0)</f>
        <v>Sr. Territory Sales officer</v>
      </c>
      <c r="E115" s="634" t="str">
        <f>VLOOKUP(B115,Tractor!$B$6:$AE$184,4,0)</f>
        <v>S&amp;M</v>
      </c>
      <c r="F115" s="635" t="str">
        <f>VLOOKUP(B115,Tractor!$B$6:$AE$184,30,0)</f>
        <v>256.158.0042967</v>
      </c>
      <c r="G115" s="636">
        <f>VLOOKUP(B115,Tractor!$B$6:$AE$184,28,0)</f>
        <v>26649</v>
      </c>
      <c r="I115" s="1208"/>
      <c r="J115" s="1211"/>
    </row>
    <row r="116" spans="1:10" s="357" customFormat="1" ht="24" customHeight="1">
      <c r="A116" s="631" t="s">
        <v>817</v>
      </c>
      <c r="B116" s="632" t="s">
        <v>905</v>
      </c>
      <c r="C116" s="633" t="str">
        <f>VLOOKUP(B116,Tractor!$B$6:$AE$184,2,0)</f>
        <v>AKM Asif Iqbal</v>
      </c>
      <c r="D116" s="634" t="str">
        <f>VLOOKUP(B116,Tractor!$B$6:$AE$184,3,0)</f>
        <v>Territory Manger</v>
      </c>
      <c r="E116" s="634" t="str">
        <f>VLOOKUP(B116,Tractor!$B$6:$AE$184,4,0)</f>
        <v>S&amp;M</v>
      </c>
      <c r="F116" s="635" t="str">
        <f>VLOOKUP(B116,Tractor!$B$6:$AE$184,30,0)</f>
        <v>163.103.0143048</v>
      </c>
      <c r="G116" s="636">
        <f>VLOOKUP(B116,Tractor!$B$6:$AE$184,28,0)</f>
        <v>34920</v>
      </c>
      <c r="I116" s="1208"/>
      <c r="J116" s="1211"/>
    </row>
    <row r="117" spans="1:10" s="357" customFormat="1" ht="24" customHeight="1">
      <c r="A117" s="631" t="s">
        <v>818</v>
      </c>
      <c r="B117" s="632" t="s">
        <v>908</v>
      </c>
      <c r="C117" s="633" t="str">
        <f>VLOOKUP(B117,Tractor!$B$6:$AE$184,2,0)</f>
        <v>Md Abdul Mazed Mondal</v>
      </c>
      <c r="D117" s="634" t="str">
        <f>VLOOKUP(B117,Tractor!$B$6:$AE$184,3,0)</f>
        <v>Sr. Territory Sales officer</v>
      </c>
      <c r="E117" s="634" t="str">
        <f>VLOOKUP(B117,Tractor!$B$6:$AE$184,4,0)</f>
        <v>S&amp;M</v>
      </c>
      <c r="F117" s="635" t="str">
        <f>VLOOKUP(B117,Tractor!$B$6:$AE$184,30,0)</f>
        <v>204.158.0033795</v>
      </c>
      <c r="G117" s="636">
        <f>VLOOKUP(B117,Tractor!$B$6:$AE$184,28,0)</f>
        <v>27839</v>
      </c>
      <c r="I117" s="1208"/>
      <c r="J117" s="1211"/>
    </row>
    <row r="118" spans="1:10" s="357" customFormat="1" ht="24" customHeight="1">
      <c r="A118" s="631" t="s">
        <v>819</v>
      </c>
      <c r="B118" s="632" t="s">
        <v>924</v>
      </c>
      <c r="C118" s="633" t="str">
        <f>VLOOKUP(B118,Tractor!$B$6:$AE$184,2,0)</f>
        <v>Rasel Mollah</v>
      </c>
      <c r="D118" s="634" t="str">
        <f>VLOOKUP(B118,Tractor!$B$6:$AE$184,3,0)</f>
        <v>Territory Manager</v>
      </c>
      <c r="E118" s="634" t="str">
        <f>VLOOKUP(B118,Tractor!$B$6:$AE$184,4,0)</f>
        <v>S&amp;M</v>
      </c>
      <c r="F118" s="635" t="str">
        <f>VLOOKUP(B118,Tractor!$B$6:$AE$184,30,0)</f>
        <v>127.103.0185465</v>
      </c>
      <c r="G118" s="636">
        <f>VLOOKUP(B118,Tractor!$B$6:$AE$184,28,0)</f>
        <v>36640</v>
      </c>
      <c r="I118" s="1208"/>
      <c r="J118" s="1211"/>
    </row>
    <row r="119" spans="1:10" s="357" customFormat="1" ht="24" customHeight="1">
      <c r="A119" s="631" t="s">
        <v>820</v>
      </c>
      <c r="B119" s="632" t="s">
        <v>926</v>
      </c>
      <c r="C119" s="633" t="str">
        <f>VLOOKUP(B119,Tractor!$B$6:$AE$184,2,0)</f>
        <v>Md Abdus Muntakimu Islam</v>
      </c>
      <c r="D119" s="634" t="str">
        <f>VLOOKUP(B119,Tractor!$B$6:$AE$184,3,0)</f>
        <v>Sr. Territory Sales Officer</v>
      </c>
      <c r="E119" s="634" t="str">
        <f>VLOOKUP(B119,Tractor!$B$6:$AE$184,4,0)</f>
        <v>S&amp;M</v>
      </c>
      <c r="F119" s="635" t="str">
        <f>VLOOKUP(B119,Tractor!$B$6:$AE$184,30,0)</f>
        <v>141.151.0216687</v>
      </c>
      <c r="G119" s="636">
        <f>VLOOKUP(B119,Tractor!$B$6:$AE$184,28,0)</f>
        <v>25970</v>
      </c>
      <c r="I119" s="1208"/>
      <c r="J119" s="1211"/>
    </row>
    <row r="120" spans="1:10" s="357" customFormat="1" ht="24" customHeight="1">
      <c r="A120" s="631" t="s">
        <v>821</v>
      </c>
      <c r="B120" s="632" t="s">
        <v>929</v>
      </c>
      <c r="C120" s="633" t="str">
        <f>VLOOKUP(B120,Tractor!$B$6:$AE$184,2,0)</f>
        <v>Manuel Halder</v>
      </c>
      <c r="D120" s="634" t="str">
        <f>VLOOKUP(B120,Tractor!$B$6:$AE$184,3,0)</f>
        <v>Territory Manager</v>
      </c>
      <c r="E120" s="634" t="str">
        <f>VLOOKUP(B120,Tractor!$B$6:$AE$184,4,0)</f>
        <v>S&amp;M</v>
      </c>
      <c r="F120" s="635" t="str">
        <f>VLOOKUP(B120,Tractor!$B$6:$AE$184,30,0)</f>
        <v>103.103.1247916</v>
      </c>
      <c r="G120" s="636">
        <f>VLOOKUP(B120,Tractor!$B$6:$AE$184,28,0)</f>
        <v>33730</v>
      </c>
      <c r="I120" s="1208"/>
      <c r="J120" s="1211"/>
    </row>
    <row r="121" spans="1:10" s="357" customFormat="1" ht="24" customHeight="1">
      <c r="A121" s="631" t="s">
        <v>822</v>
      </c>
      <c r="B121" s="632" t="s">
        <v>952</v>
      </c>
      <c r="C121" s="633" t="str">
        <f>VLOOKUP(B121,Tractor!$B$6:$AE$184,2,0)</f>
        <v>Md Hasnatul Alam</v>
      </c>
      <c r="D121" s="634" t="str">
        <f>VLOOKUP(B121,Tractor!$B$6:$AE$184,3,0)</f>
        <v>Territory Manager</v>
      </c>
      <c r="E121" s="634" t="str">
        <f>VLOOKUP(B121,Tractor!$B$6:$AE$184,4,0)</f>
        <v>S&amp;M</v>
      </c>
      <c r="F121" s="635" t="str">
        <f>VLOOKUP(B121,Tractor!$B$6:$AE$184,30,0)</f>
        <v>290.158.0021868</v>
      </c>
      <c r="G121" s="636">
        <f>VLOOKUP(B121,Tractor!$B$6:$AE$184,28,0)</f>
        <v>30238</v>
      </c>
      <c r="I121" s="1208"/>
      <c r="J121" s="1211"/>
    </row>
    <row r="122" spans="1:10" s="357" customFormat="1" ht="24" customHeight="1">
      <c r="A122" s="631" t="s">
        <v>823</v>
      </c>
      <c r="B122" s="632" t="s">
        <v>955</v>
      </c>
      <c r="C122" s="633" t="str">
        <f>VLOOKUP(B122,Tractor!$B$6:$AE$184,2,0)</f>
        <v>Md Ashraful Islam</v>
      </c>
      <c r="D122" s="634" t="str">
        <f>VLOOKUP(B122,Tractor!$B$6:$AE$184,3,0)</f>
        <v>Sr. Territory Sales Officer</v>
      </c>
      <c r="E122" s="634" t="str">
        <f>VLOOKUP(B122,Tractor!$B$6:$AE$184,4,0)</f>
        <v>S&amp;M</v>
      </c>
      <c r="F122" s="635" t="str">
        <f>VLOOKUP(B122,Tractor!$B$6:$AE$184,30,0)</f>
        <v>103.103.1143715</v>
      </c>
      <c r="G122" s="636">
        <f>VLOOKUP(B122,Tractor!$B$6:$AE$184,28,0)</f>
        <v>28880</v>
      </c>
      <c r="I122" s="1208"/>
      <c r="J122" s="1211"/>
    </row>
    <row r="123" spans="1:10" s="357" customFormat="1" ht="24" customHeight="1">
      <c r="A123" s="631" t="s">
        <v>824</v>
      </c>
      <c r="B123" s="632" t="s">
        <v>1069</v>
      </c>
      <c r="C123" s="633" t="str">
        <f>VLOOKUP(B123,Tractor!$B$6:$AE$184,2,0)</f>
        <v>Lablu Answeri</v>
      </c>
      <c r="D123" s="634" t="str">
        <f>VLOOKUP(B123,Tractor!$B$6:$AE$184,3,0)</f>
        <v>Assistant Territory Sales officer</v>
      </c>
      <c r="E123" s="634" t="str">
        <f>VLOOKUP(B123,Tractor!$B$6:$AE$184,4,0)</f>
        <v>S&amp;M</v>
      </c>
      <c r="F123" s="635" t="str">
        <f>VLOOKUP(B123,Tractor!$B$6:$AE$184,30,0)</f>
        <v>107.151.0121369</v>
      </c>
      <c r="G123" s="636">
        <f>VLOOKUP(B123,Tractor!$B$6:$AE$184,28,0)</f>
        <v>17284</v>
      </c>
      <c r="I123" s="1208"/>
      <c r="J123" s="1211"/>
    </row>
    <row r="124" spans="1:10" s="357" customFormat="1" ht="24" customHeight="1">
      <c r="A124" s="631" t="s">
        <v>825</v>
      </c>
      <c r="B124" s="632" t="s">
        <v>1364</v>
      </c>
      <c r="C124" s="633" t="str">
        <f>VLOOKUP(B124,Tractor!$B$6:$AE$184,2,0)</f>
        <v>Md Gias Uddin</v>
      </c>
      <c r="D124" s="634" t="str">
        <f>VLOOKUP(B124,Tractor!$B$6:$AE$184,3,0)</f>
        <v>Sr. Territory Manager</v>
      </c>
      <c r="E124" s="634" t="str">
        <f>VLOOKUP(B124,Tractor!$B$6:$AE$184,4,0)</f>
        <v>S&amp;M</v>
      </c>
      <c r="F124" s="635" t="str">
        <f>VLOOKUP(B124,Tractor!$B$6:$AE$184,30,0)</f>
        <v>169.158.0076132</v>
      </c>
      <c r="G124" s="636">
        <f>VLOOKUP(B124,Tractor!$B$6:$AE$184,28,0)</f>
        <v>33950</v>
      </c>
      <c r="I124" s="1208"/>
      <c r="J124" s="1211"/>
    </row>
    <row r="125" spans="1:10" s="357" customFormat="1" ht="24" customHeight="1">
      <c r="A125" s="631" t="s">
        <v>826</v>
      </c>
      <c r="B125" s="632" t="s">
        <v>1073</v>
      </c>
      <c r="C125" s="633" t="str">
        <f>VLOOKUP(B125,Tractor!$B$6:$AE$184,2,0)</f>
        <v>Uttam Kumar Roy</v>
      </c>
      <c r="D125" s="634" t="str">
        <f>VLOOKUP(B125,Tractor!$B$6:$AE$184,3,0)</f>
        <v>Sr. Territory Sales Officer</v>
      </c>
      <c r="E125" s="634" t="str">
        <f>VLOOKUP(B125,Tractor!$B$6:$AE$184,4,0)</f>
        <v>S&amp;M</v>
      </c>
      <c r="F125" s="635" t="str">
        <f>VLOOKUP(B125,Tractor!$B$6:$AE$184,30,0)</f>
        <v>191.103.0201739</v>
      </c>
      <c r="G125" s="636">
        <f>VLOOKUP(B125,Tractor!$B$6:$AE$184,28,0)</f>
        <v>23408</v>
      </c>
      <c r="I125" s="1208"/>
      <c r="J125" s="1211"/>
    </row>
    <row r="126" spans="1:10" s="357" customFormat="1" ht="24" customHeight="1">
      <c r="A126" s="631" t="s">
        <v>827</v>
      </c>
      <c r="B126" s="632" t="s">
        <v>1112</v>
      </c>
      <c r="C126" s="633" t="str">
        <f>VLOOKUP(B126,Tractor!$B$6:$AE$184,2,0)</f>
        <v>Md Nayeem Akhter</v>
      </c>
      <c r="D126" s="634" t="str">
        <f>VLOOKUP(B126,Tractor!$B$6:$AE$184,3,0)</f>
        <v>Deputy Manager</v>
      </c>
      <c r="E126" s="634" t="str">
        <f>VLOOKUP(B126,Tractor!$B$6:$AE$184,4,0)</f>
        <v>S&amp;M</v>
      </c>
      <c r="F126" s="635" t="str">
        <f>VLOOKUP(B126,Tractor!$B$6:$AE$184,30,0)</f>
        <v>148.158.0045395</v>
      </c>
      <c r="G126" s="636">
        <f>VLOOKUP(B126,Tractor!$B$6:$AE$184,28,0)</f>
        <v>57408</v>
      </c>
      <c r="I126" s="1208"/>
      <c r="J126" s="1211"/>
    </row>
    <row r="127" spans="1:10" s="357" customFormat="1" ht="24" customHeight="1">
      <c r="A127" s="631" t="s">
        <v>828</v>
      </c>
      <c r="B127" s="632" t="s">
        <v>1172</v>
      </c>
      <c r="C127" s="633" t="str">
        <f>VLOOKUP(B127,Tractor!$B$6:$AE$184,2,0)</f>
        <v>Md Golam Sorower</v>
      </c>
      <c r="D127" s="634" t="str">
        <f>VLOOKUP(B127,Tractor!$B$6:$AE$184,3,0)</f>
        <v>Sr. Territory Sales Officer</v>
      </c>
      <c r="E127" s="634" t="str">
        <f>VLOOKUP(B127,Tractor!$B$6:$AE$184,4,0)</f>
        <v>S&amp;M</v>
      </c>
      <c r="F127" s="635" t="str">
        <f>VLOOKUP(B127,Tractor!$B$6:$AE$184,30,0)</f>
        <v>213.151.0003898</v>
      </c>
      <c r="G127" s="636">
        <f>VLOOKUP(B127,Tractor!$B$6:$AE$184,28,0)</f>
        <v>27825</v>
      </c>
      <c r="I127" s="1208"/>
      <c r="J127" s="1211"/>
    </row>
    <row r="128" spans="1:10" s="357" customFormat="1" ht="24" customHeight="1">
      <c r="A128" s="631" t="s">
        <v>829</v>
      </c>
      <c r="B128" s="632" t="s">
        <v>1188</v>
      </c>
      <c r="C128" s="633" t="str">
        <f>VLOOKUP(B128,Tractor!$B$6:$AE$184,2,0)</f>
        <v>Md Asaduzzaman</v>
      </c>
      <c r="D128" s="634" t="str">
        <f>VLOOKUP(B128,Tractor!$B$6:$AE$184,3,0)</f>
        <v>Sr. Territory Sales Officer</v>
      </c>
      <c r="E128" s="634" t="str">
        <f>VLOOKUP(B128,Tractor!$B$6:$AE$184,4,0)</f>
        <v>S&amp;M</v>
      </c>
      <c r="F128" s="635" t="str">
        <f>VLOOKUP(B128,Tractor!$B$6:$AE$184,30,0)</f>
        <v>219.151.0062240</v>
      </c>
      <c r="G128" s="636">
        <f>VLOOKUP(B128,Tractor!$B$6:$AE$184,28,0)</f>
        <v>32000</v>
      </c>
      <c r="I128" s="1208"/>
      <c r="J128" s="1211"/>
    </row>
    <row r="129" spans="1:10" s="357" customFormat="1" ht="24" customHeight="1">
      <c r="A129" s="631" t="s">
        <v>830</v>
      </c>
      <c r="B129" s="632" t="s">
        <v>1190</v>
      </c>
      <c r="C129" s="633" t="str">
        <f>VLOOKUP(B129,Tractor!$B$6:$AE$184,2,0)</f>
        <v>Md Raju Mia</v>
      </c>
      <c r="D129" s="634" t="str">
        <f>VLOOKUP(B129,Tractor!$B$6:$AE$184,3,0)</f>
        <v>Assistant Territory Manager</v>
      </c>
      <c r="E129" s="634" t="str">
        <f>VLOOKUP(B129,Tractor!$B$6:$AE$184,4,0)</f>
        <v>S&amp;M</v>
      </c>
      <c r="F129" s="635" t="str">
        <f>VLOOKUP(B129,Tractor!$B$6:$AE$184,30,0)</f>
        <v>267.103.0024494</v>
      </c>
      <c r="G129" s="636">
        <f>VLOOKUP(B129,Tractor!$B$6:$AE$184,28,0)</f>
        <v>33000</v>
      </c>
      <c r="I129" s="1208"/>
      <c r="J129" s="1211"/>
    </row>
    <row r="130" spans="1:10" s="357" customFormat="1" ht="24" customHeight="1">
      <c r="A130" s="631" t="s">
        <v>831</v>
      </c>
      <c r="B130" s="632" t="s">
        <v>1192</v>
      </c>
      <c r="C130" s="633" t="str">
        <f>VLOOKUP(B130,Tractor!$B$6:$AE$184,2,0)</f>
        <v>Md Peyarul Islam</v>
      </c>
      <c r="D130" s="634" t="str">
        <f>VLOOKUP(B130,Tractor!$B$6:$AE$184,3,0)</f>
        <v>Sr. Territory Sales Officer</v>
      </c>
      <c r="E130" s="634" t="str">
        <f>VLOOKUP(B130,Tractor!$B$6:$AE$184,4,0)</f>
        <v>S&amp;M</v>
      </c>
      <c r="F130" s="635" t="str">
        <f>VLOOKUP(B130,Tractor!$B$6:$AE$184,30,0)</f>
        <v>103.103.1170723</v>
      </c>
      <c r="G130" s="636">
        <f>VLOOKUP(B130,Tractor!$B$6:$AE$184,28,0)</f>
        <v>32000</v>
      </c>
      <c r="I130" s="1208"/>
      <c r="J130" s="1211"/>
    </row>
    <row r="131" spans="1:10" s="357" customFormat="1" ht="24" customHeight="1">
      <c r="A131" s="631" t="s">
        <v>832</v>
      </c>
      <c r="B131" s="632" t="s">
        <v>1196</v>
      </c>
      <c r="C131" s="633" t="str">
        <f>VLOOKUP(B131,Tractor!$B$6:$AE$184,2,0)</f>
        <v>Sree Bhupendronath Roy</v>
      </c>
      <c r="D131" s="634" t="str">
        <f>VLOOKUP(B131,Tractor!$B$6:$AE$184,3,0)</f>
        <v>Assistant Territory Manager</v>
      </c>
      <c r="E131" s="634" t="str">
        <f>VLOOKUP(B131,Tractor!$B$6:$AE$184,4,0)</f>
        <v>S&amp;M</v>
      </c>
      <c r="F131" s="635" t="str">
        <f>VLOOKUP(B131,Tractor!$B$6:$AE$184,30,0)</f>
        <v>172.158.0102567</v>
      </c>
      <c r="G131" s="636">
        <f>VLOOKUP(B131,Tractor!$B$6:$AE$184,28,0)</f>
        <v>33000</v>
      </c>
      <c r="I131" s="1208"/>
      <c r="J131" s="1211"/>
    </row>
    <row r="132" spans="1:10" s="357" customFormat="1" ht="24" customHeight="1">
      <c r="A132" s="631" t="s">
        <v>833</v>
      </c>
      <c r="B132" s="632" t="s">
        <v>1198</v>
      </c>
      <c r="C132" s="633" t="str">
        <f>VLOOKUP(B132,Tractor!$B$6:$AE$184,2,0)</f>
        <v>Md Wohed Ali</v>
      </c>
      <c r="D132" s="634" t="str">
        <f>VLOOKUP(B132,Tractor!$B$6:$AE$184,3,0)</f>
        <v>Sr. Territory Sales Officer</v>
      </c>
      <c r="E132" s="634" t="str">
        <f>VLOOKUP(B132,Tractor!$B$6:$AE$184,4,0)</f>
        <v>S&amp;M</v>
      </c>
      <c r="F132" s="635" t="str">
        <f>VLOOKUP(B132,Tractor!$B$6:$AE$184,30,0)</f>
        <v>103.103.0858066</v>
      </c>
      <c r="G132" s="636">
        <f>VLOOKUP(B132,Tractor!$B$6:$AE$184,28,0)</f>
        <v>30825</v>
      </c>
      <c r="I132" s="1208"/>
      <c r="J132" s="1211"/>
    </row>
    <row r="133" spans="1:10" s="357" customFormat="1" ht="24" customHeight="1">
      <c r="A133" s="631" t="s">
        <v>834</v>
      </c>
      <c r="B133" s="632" t="s">
        <v>1200</v>
      </c>
      <c r="C133" s="633" t="str">
        <f>VLOOKUP(B133,Tractor!$B$6:$AE$184,2,0)</f>
        <v>Md Gias Uddin Howlader</v>
      </c>
      <c r="D133" s="634" t="str">
        <f>VLOOKUP(B133,Tractor!$B$6:$AE$184,3,0)</f>
        <v>Sr. Territory Sales Officer</v>
      </c>
      <c r="E133" s="634" t="str">
        <f>VLOOKUP(B133,Tractor!$B$6:$AE$184,4,0)</f>
        <v>S&amp;M</v>
      </c>
      <c r="F133" s="635" t="str">
        <f>VLOOKUP(B133,Tractor!$B$6:$AE$184,30,0)</f>
        <v>218.103.0041632</v>
      </c>
      <c r="G133" s="636">
        <f>VLOOKUP(B133,Tractor!$B$6:$AE$184,28,0)</f>
        <v>30000</v>
      </c>
      <c r="I133" s="1208"/>
      <c r="J133" s="1211"/>
    </row>
    <row r="134" spans="1:10" s="357" customFormat="1" ht="24" customHeight="1">
      <c r="A134" s="631" t="s">
        <v>835</v>
      </c>
      <c r="B134" s="632" t="s">
        <v>1205</v>
      </c>
      <c r="C134" s="633" t="str">
        <f>VLOOKUP(B134,Tractor!$B$6:$AE$184,2,0)</f>
        <v>Ramani Kanta Barman</v>
      </c>
      <c r="D134" s="634" t="str">
        <f>VLOOKUP(B134,Tractor!$B$6:$AE$184,3,0)</f>
        <v>Sr. Territory Sales Officer</v>
      </c>
      <c r="E134" s="634" t="str">
        <f>VLOOKUP(B134,Tractor!$B$6:$AE$184,4,0)</f>
        <v>S&amp;M</v>
      </c>
      <c r="F134" s="635" t="str">
        <f>VLOOKUP(B134,Tractor!$B$6:$AE$184,30,0)</f>
        <v>278.158.0095201</v>
      </c>
      <c r="G134" s="636">
        <f>VLOOKUP(B134,Tractor!$B$6:$AE$184,28,0)</f>
        <v>27825</v>
      </c>
      <c r="I134" s="1208"/>
      <c r="J134" s="1211"/>
    </row>
    <row r="135" spans="1:10" s="357" customFormat="1" ht="24" customHeight="1">
      <c r="A135" s="631" t="s">
        <v>1701</v>
      </c>
      <c r="B135" s="632" t="s">
        <v>1366</v>
      </c>
      <c r="C135" s="633" t="str">
        <f>VLOOKUP(B135,Tractor!$B$6:$AE$184,2,0)</f>
        <v>ABM Nizam Uddin</v>
      </c>
      <c r="D135" s="634" t="str">
        <f>VLOOKUP(B135,Tractor!$B$6:$AE$184,3,0)</f>
        <v>Assistant Manager-Recovery</v>
      </c>
      <c r="E135" s="634" t="str">
        <f>VLOOKUP(B135,Tractor!$B$6:$AE$184,4,0)</f>
        <v>S&amp;M</v>
      </c>
      <c r="F135" s="635" t="str">
        <f>VLOOKUP(B135,Tractor!$B$6:$AE$184,30,0)</f>
        <v>114.103.0606462</v>
      </c>
      <c r="G135" s="636">
        <f>VLOOKUP(B135,Tractor!$B$6:$AE$184,28,0)</f>
        <v>42458</v>
      </c>
      <c r="I135" s="1208"/>
      <c r="J135" s="1211"/>
    </row>
    <row r="136" spans="1:10" s="357" customFormat="1" ht="24" customHeight="1">
      <c r="A136" s="631" t="s">
        <v>1702</v>
      </c>
      <c r="B136" s="632" t="s">
        <v>1623</v>
      </c>
      <c r="C136" s="633" t="str">
        <f>VLOOKUP(B136,Tractor!$B$6:$AE$184,2,0)</f>
        <v>Md Inzamamul Haque</v>
      </c>
      <c r="D136" s="634" t="str">
        <f>VLOOKUP(B136,Tractor!$B$6:$AE$184,3,0)</f>
        <v>Manager</v>
      </c>
      <c r="E136" s="634" t="str">
        <f>VLOOKUP(B136,Tractor!$B$6:$AE$184,4,0)</f>
        <v>Tractor</v>
      </c>
      <c r="F136" s="635" t="str">
        <f>VLOOKUP(B136,Tractor!$B$6:$AE$184,30,0)</f>
        <v>103.158.0002784</v>
      </c>
      <c r="G136" s="636">
        <f>VLOOKUP(B136,Tractor!$B$6:$AE$184,28,0)</f>
        <v>57894</v>
      </c>
      <c r="I136" s="1208"/>
      <c r="J136" s="1211"/>
    </row>
    <row r="137" spans="1:10" s="357" customFormat="1" ht="24" customHeight="1">
      <c r="A137" s="631" t="s">
        <v>1703</v>
      </c>
      <c r="B137" s="632" t="s">
        <v>1670</v>
      </c>
      <c r="C137" s="633" t="str">
        <f>VLOOKUP(B137,Tractor!$B$6:$AE$184,2,0)</f>
        <v>Md Shoriful Islam Sobuj</v>
      </c>
      <c r="D137" s="634" t="str">
        <f>VLOOKUP(B137,Tractor!$B$6:$AE$184,3,0)</f>
        <v>Assistant Territory Sales officer</v>
      </c>
      <c r="E137" s="634" t="str">
        <f>VLOOKUP(B137,Tractor!$B$6:$AE$184,4,0)</f>
        <v>S&amp;M</v>
      </c>
      <c r="F137" s="635" t="str">
        <f>VLOOKUP(B137,Tractor!$B$6:$AE$184,30,0)</f>
        <v>161.158.0069134</v>
      </c>
      <c r="G137" s="636">
        <f>VLOOKUP(B137,Tractor!$B$6:$AE$184,28,0)</f>
        <v>20160</v>
      </c>
      <c r="I137" s="1208"/>
      <c r="J137" s="1211"/>
    </row>
    <row r="138" spans="1:10" s="357" customFormat="1" ht="24" customHeight="1">
      <c r="A138" s="631" t="s">
        <v>1704</v>
      </c>
      <c r="B138" s="632" t="s">
        <v>1672</v>
      </c>
      <c r="C138" s="633" t="str">
        <f>VLOOKUP(B138,Tractor!$B$6:$AE$184,2,0)</f>
        <v>Md Jobayer Hassain</v>
      </c>
      <c r="D138" s="634" t="str">
        <f>VLOOKUP(B138,Tractor!$B$6:$AE$184,3,0)</f>
        <v>Sr. Territory Sales Officer</v>
      </c>
      <c r="E138" s="634" t="str">
        <f>VLOOKUP(B138,Tractor!$B$6:$AE$184,4,0)</f>
        <v>S&amp;M</v>
      </c>
      <c r="F138" s="635" t="str">
        <f>VLOOKUP(B138,Tractor!$B$6:$AE$184,30,0)</f>
        <v>163.103.0084846</v>
      </c>
      <c r="G138" s="636">
        <f>VLOOKUP(B138,Tractor!$B$6:$AE$184,28,0)</f>
        <v>40000</v>
      </c>
      <c r="I138" s="1208"/>
      <c r="J138" s="1211"/>
    </row>
    <row r="139" spans="1:10" s="357" customFormat="1" ht="24" customHeight="1">
      <c r="A139" s="631" t="s">
        <v>1705</v>
      </c>
      <c r="B139" s="632" t="s">
        <v>1674</v>
      </c>
      <c r="C139" s="633" t="str">
        <f>VLOOKUP(B139,Tractor!$B$6:$AE$184,2,0)</f>
        <v>Md Umor Faruq</v>
      </c>
      <c r="D139" s="634" t="str">
        <f>VLOOKUP(B139,Tractor!$B$6:$AE$184,3,0)</f>
        <v>Sr. Territory Sales Officer</v>
      </c>
      <c r="E139" s="634" t="str">
        <f>VLOOKUP(B139,Tractor!$B$6:$AE$184,4,0)</f>
        <v>S&amp;M</v>
      </c>
      <c r="F139" s="635" t="str">
        <f>VLOOKUP(B139,Tractor!$B$6:$AE$184,30,0)</f>
        <v>103.103.1040345</v>
      </c>
      <c r="G139" s="636">
        <f>VLOOKUP(B139,Tractor!$B$6:$AE$184,28,0)</f>
        <v>38000</v>
      </c>
      <c r="I139" s="1208"/>
      <c r="J139" s="1211"/>
    </row>
    <row r="140" spans="1:10" s="357" customFormat="1" ht="24" customHeight="1">
      <c r="A140" s="631" t="s">
        <v>1706</v>
      </c>
      <c r="B140" s="632" t="s">
        <v>1676</v>
      </c>
      <c r="C140" s="633" t="str">
        <f>VLOOKUP(B140,Tractor!$B$6:$AE$184,2,0)</f>
        <v>Md Abu Horaira Reegan</v>
      </c>
      <c r="D140" s="634" t="str">
        <f>VLOOKUP(B140,Tractor!$B$6:$AE$184,3,0)</f>
        <v>Sr. Territory Sales Officer</v>
      </c>
      <c r="E140" s="634" t="str">
        <f>VLOOKUP(B140,Tractor!$B$6:$AE$184,4,0)</f>
        <v>S&amp;M</v>
      </c>
      <c r="F140" s="635" t="str">
        <f>VLOOKUP(B140,Tractor!$B$6:$AE$184,30,0)</f>
        <v>172.103.0066324</v>
      </c>
      <c r="G140" s="636">
        <f>VLOOKUP(B140,Tractor!$B$6:$AE$184,28,0)</f>
        <v>24825</v>
      </c>
      <c r="I140" s="1208"/>
      <c r="J140" s="1211"/>
    </row>
    <row r="141" spans="1:10" s="357" customFormat="1" ht="24" customHeight="1">
      <c r="A141" s="631" t="s">
        <v>1707</v>
      </c>
      <c r="B141" s="632" t="s">
        <v>1790</v>
      </c>
      <c r="C141" s="633" t="str">
        <f>VLOOKUP(B141,Tractor!$B$6:$AE$184,2,0)</f>
        <v>Md Mahfuzur Rahman</v>
      </c>
      <c r="D141" s="634" t="str">
        <f>VLOOKUP(B141,Tractor!$B$6:$AE$184,3,0)</f>
        <v>Sr. Territory Sales Officer</v>
      </c>
      <c r="E141" s="634" t="str">
        <f>VLOOKUP(B141,Tractor!$B$6:$AE$184,4,0)</f>
        <v>Tractor</v>
      </c>
      <c r="F141" s="635" t="str">
        <f>VLOOKUP(B141,Tractor!$B$6:$AE$184,30,0)</f>
        <v>161.158.0072082</v>
      </c>
      <c r="G141" s="636">
        <f>VLOOKUP(B141,Tractor!$B$6:$AE$184,28,0)</f>
        <v>27825</v>
      </c>
      <c r="I141" s="1208"/>
      <c r="J141" s="1211"/>
    </row>
    <row r="142" spans="1:10" s="357" customFormat="1" ht="24" customHeight="1">
      <c r="A142" s="631" t="s">
        <v>1708</v>
      </c>
      <c r="B142" s="632" t="s">
        <v>1794</v>
      </c>
      <c r="C142" s="633" t="str">
        <f>VLOOKUP(B142,Tractor!$B$6:$AE$184,2,0)</f>
        <v>Md Zubair Ibna Kabir</v>
      </c>
      <c r="D142" s="634" t="str">
        <f>VLOOKUP(B142,Tractor!$B$6:$AE$184,3,0)</f>
        <v>Assistant Territory Sales officer</v>
      </c>
      <c r="E142" s="634" t="str">
        <f>VLOOKUP(B142,Tractor!$B$6:$AE$184,4,0)</f>
        <v>Tractor</v>
      </c>
      <c r="F142" s="635" t="str">
        <f>VLOOKUP(B142,Tractor!$B$6:$AE$184,30,0)</f>
        <v>187.103.0434080</v>
      </c>
      <c r="G142" s="636">
        <f>VLOOKUP(B142,Tractor!$B$6:$AE$184,28,0)</f>
        <v>18000</v>
      </c>
      <c r="I142" s="1208"/>
      <c r="J142" s="1211"/>
    </row>
    <row r="143" spans="1:10" s="357" customFormat="1" ht="24" customHeight="1">
      <c r="A143" s="631" t="s">
        <v>1709</v>
      </c>
      <c r="B143" s="632" t="s">
        <v>1375</v>
      </c>
      <c r="C143" s="633" t="str">
        <f>VLOOKUP(B143,Tractor!$B$6:$AE$184,2,0)</f>
        <v>Md Ashraful Alam</v>
      </c>
      <c r="D143" s="634" t="str">
        <f>VLOOKUP(B143,Tractor!$B$6:$AE$184,3,0)</f>
        <v>Driver</v>
      </c>
      <c r="E143" s="634" t="str">
        <f>VLOOKUP(B143,Tractor!$B$6:$AE$184,4,0)</f>
        <v>Transport</v>
      </c>
      <c r="F143" s="635" t="str">
        <f>VLOOKUP(B143,Tractor!$B$6:$AE$184,30,0)</f>
        <v>103.103.1413520</v>
      </c>
      <c r="G143" s="636">
        <f>VLOOKUP(B143,Tractor!$B$6:$AE$184,28,0)</f>
        <v>18000</v>
      </c>
      <c r="I143" s="1208"/>
      <c r="J143" s="1211"/>
    </row>
    <row r="144" spans="1:10" s="357" customFormat="1" ht="24" customHeight="1">
      <c r="A144" s="631" t="s">
        <v>1710</v>
      </c>
      <c r="B144" s="632" t="s">
        <v>1456</v>
      </c>
      <c r="C144" s="633" t="str">
        <f>VLOOKUP(B144,Tractor!$B$6:$AE$184,2,0)</f>
        <v>Md.Rahim Badsha</v>
      </c>
      <c r="D144" s="634" t="str">
        <f>VLOOKUP(B144,Tractor!$B$6:$AE$184,3,0)</f>
        <v>Driver</v>
      </c>
      <c r="E144" s="634" t="str">
        <f>VLOOKUP(B144,Tractor!$B$6:$AE$184,4,0)</f>
        <v>Transport</v>
      </c>
      <c r="F144" s="635" t="str">
        <f>VLOOKUP(B144,Tractor!$B$6:$AE$184,30,0)</f>
        <v>103.103.1403730</v>
      </c>
      <c r="G144" s="636">
        <f>VLOOKUP(B144,Tractor!$B$6:$AE$184,28,0)</f>
        <v>20000</v>
      </c>
      <c r="I144" s="1208"/>
      <c r="J144" s="1211"/>
    </row>
    <row r="145" spans="1:10" s="357" customFormat="1" ht="24" customHeight="1">
      <c r="A145" s="631" t="s">
        <v>1711</v>
      </c>
      <c r="B145" s="632" t="s">
        <v>665</v>
      </c>
      <c r="C145" s="633" t="str">
        <f>VLOOKUP(B145,Tractor!$B$6:$AE$184,2,0)</f>
        <v>Md. Saddam Hosen</v>
      </c>
      <c r="D145" s="634" t="str">
        <f>VLOOKUP(B145,Tractor!$B$6:$AE$184,3,0)</f>
        <v>Driver</v>
      </c>
      <c r="E145" s="634" t="str">
        <f>VLOOKUP(B145,Tractor!$B$6:$AE$184,4,0)</f>
        <v>Transport</v>
      </c>
      <c r="F145" s="635" t="str">
        <f>VLOOKUP(B145,Tractor!$B$6:$AE$184,30,0)</f>
        <v>103.103.1353839</v>
      </c>
      <c r="G145" s="636">
        <f>VLOOKUP(B145,Tractor!$B$6:$AE$184,28,0)</f>
        <v>18430</v>
      </c>
      <c r="I145" s="1208"/>
      <c r="J145" s="1211"/>
    </row>
    <row r="146" spans="1:10" s="357" customFormat="1" ht="24" customHeight="1">
      <c r="A146" s="631" t="s">
        <v>1712</v>
      </c>
      <c r="B146" s="632" t="s">
        <v>1143</v>
      </c>
      <c r="C146" s="633" t="str">
        <f>VLOOKUP(B146,Tractor!$B$6:$AE$184,2,0)</f>
        <v>Md Shabuz Mia</v>
      </c>
      <c r="D146" s="634" t="str">
        <f>VLOOKUP(B146,Tractor!$B$6:$AE$184,3,0)</f>
        <v>Driver</v>
      </c>
      <c r="E146" s="634" t="str">
        <f>VLOOKUP(B146,Tractor!$B$6:$AE$184,4,0)</f>
        <v>Transport</v>
      </c>
      <c r="F146" s="635" t="str">
        <f>VLOOKUP(B146,Tractor!$B$6:$AE$184,30,0)</f>
        <v>147.103.0490676</v>
      </c>
      <c r="G146" s="636">
        <f>VLOOKUP(B146,Tractor!$B$6:$AE$184,28,0)</f>
        <v>21340</v>
      </c>
      <c r="I146" s="1208"/>
      <c r="J146" s="1211"/>
    </row>
    <row r="147" spans="1:10" s="357" customFormat="1" ht="24" customHeight="1">
      <c r="A147" s="631" t="s">
        <v>1713</v>
      </c>
      <c r="B147" s="632" t="s">
        <v>891</v>
      </c>
      <c r="C147" s="633" t="str">
        <f>VLOOKUP(B147,Tractor!$B$6:$AE$184,2,0)</f>
        <v>Md Adib Daiyan</v>
      </c>
      <c r="D147" s="634" t="str">
        <f>VLOOKUP(B147,Tractor!$B$6:$AE$184,3,0)</f>
        <v>Sr. Executive</v>
      </c>
      <c r="E147" s="634" t="str">
        <f>VLOOKUP(B147,Tractor!$B$6:$AE$184,4,0)</f>
        <v>Monitoring &amp; Branding</v>
      </c>
      <c r="F147" s="635" t="str">
        <f>VLOOKUP(B147,Tractor!$B$6:$AE$184,30,0)</f>
        <v>103.103.1371963</v>
      </c>
      <c r="G147" s="636">
        <f>VLOOKUP(B147,Tractor!$B$6:$AE$184,28,0)</f>
        <v>37055</v>
      </c>
      <c r="I147" s="1208"/>
      <c r="J147" s="1211"/>
    </row>
    <row r="148" spans="1:10" s="357" customFormat="1" ht="24" customHeight="1">
      <c r="A148" s="631" t="s">
        <v>1714</v>
      </c>
      <c r="B148" s="632" t="s">
        <v>888</v>
      </c>
      <c r="C148" s="633" t="str">
        <f>VLOOKUP(B148,Tractor!$B$6:$AE$184,2,0)</f>
        <v>Tahmid Hasan Rakib</v>
      </c>
      <c r="D148" s="634" t="str">
        <f>VLOOKUP(B148,Tractor!$B$6:$AE$184,3,0)</f>
        <v>Jr. Executive</v>
      </c>
      <c r="E148" s="634" t="str">
        <f>VLOOKUP(B148,Tractor!$B$6:$AE$184,4,0)</f>
        <v>S&amp;M</v>
      </c>
      <c r="F148" s="635" t="str">
        <f>VLOOKUP(B148,Tractor!$B$6:$AE$184,30,0)</f>
        <v>194.158.0038531</v>
      </c>
      <c r="G148" s="636">
        <f>VLOOKUP(B148,Tractor!$B$6:$AE$184,28,0)</f>
        <v>27450</v>
      </c>
      <c r="I148" s="1208"/>
      <c r="J148" s="1211"/>
    </row>
    <row r="149" spans="1:10" s="357" customFormat="1" ht="24" customHeight="1">
      <c r="A149" s="631" t="s">
        <v>1715</v>
      </c>
      <c r="B149" s="632" t="s">
        <v>1219</v>
      </c>
      <c r="C149" s="633" t="str">
        <f>VLOOKUP(B149,Tractor!$B$6:$AE$184,2,0)</f>
        <v>M. Abdus Salam Sardar</v>
      </c>
      <c r="D149" s="634" t="str">
        <f>VLOOKUP(B149,Tractor!$B$6:$AE$184,3,0)</f>
        <v>Sr. Executive</v>
      </c>
      <c r="E149" s="634" t="str">
        <f>VLOOKUP(B149,Tractor!$B$6:$AE$184,4,0)</f>
        <v>Audit &amp; Monitoring</v>
      </c>
      <c r="F149" s="635" t="str">
        <f>VLOOKUP(B149,Tractor!$B$6:$AE$184,30,0)</f>
        <v>103.103.1395988</v>
      </c>
      <c r="G149" s="636">
        <f>VLOOKUP(B149,Tractor!$B$6:$AE$184,28,0)</f>
        <v>39583</v>
      </c>
      <c r="I149" s="1208"/>
      <c r="J149" s="1211"/>
    </row>
    <row r="150" spans="1:10" s="357" customFormat="1" ht="24" customHeight="1">
      <c r="A150" s="631" t="s">
        <v>1716</v>
      </c>
      <c r="B150" s="632" t="s">
        <v>1285</v>
      </c>
      <c r="C150" s="633" t="str">
        <f>VLOOKUP(B150,Tractor!$B$6:$AE$184,2,0)</f>
        <v>Abdur Rahman</v>
      </c>
      <c r="D150" s="634" t="str">
        <f>VLOOKUP(B150,Tractor!$B$6:$AE$184,3,0)</f>
        <v>Sr. Executive</v>
      </c>
      <c r="E150" s="634" t="str">
        <f>VLOOKUP(B150,Tractor!$B$6:$AE$184,4,0)</f>
        <v>Auditor &amp; Monitoring</v>
      </c>
      <c r="F150" s="635" t="str">
        <f>VLOOKUP(B150,Tractor!$B$6:$AE$184,30,0)</f>
        <v>193.151.0113724</v>
      </c>
      <c r="G150" s="636">
        <f>VLOOKUP(B150,Tractor!$B$6:$AE$184,28,0)</f>
        <v>35000</v>
      </c>
      <c r="I150" s="1208"/>
      <c r="J150" s="1211"/>
    </row>
    <row r="151" spans="1:10" s="357" customFormat="1" ht="24" customHeight="1">
      <c r="A151" s="631" t="s">
        <v>1717</v>
      </c>
      <c r="B151" s="632" t="s">
        <v>1608</v>
      </c>
      <c r="C151" s="633" t="str">
        <f>VLOOKUP(B151,Tractor!$B$6:$AE$184,2,0)</f>
        <v>Nipa Monalisha</v>
      </c>
      <c r="D151" s="634" t="str">
        <f>VLOOKUP(B151,Tractor!$B$6:$AE$184,3,0)</f>
        <v>Jr. Executive</v>
      </c>
      <c r="E151" s="634" t="str">
        <f>VLOOKUP(B151,Tractor!$B$6:$AE$184,4,0)</f>
        <v>Auditor &amp; Monitoring</v>
      </c>
      <c r="F151" s="635" t="str">
        <f>VLOOKUP(B151,Tractor!$B$6:$AE$184,30,0)</f>
        <v>103.103.1408011</v>
      </c>
      <c r="G151" s="636">
        <f>VLOOKUP(B151,Tractor!$B$6:$AE$184,28,0)</f>
        <v>20000</v>
      </c>
      <c r="I151" s="1208"/>
      <c r="J151" s="1211"/>
    </row>
    <row r="152" spans="1:10" s="357" customFormat="1" ht="24" customHeight="1" thickBot="1">
      <c r="A152" s="631" t="s">
        <v>1718</v>
      </c>
      <c r="B152" s="1011" t="s">
        <v>1377</v>
      </c>
      <c r="C152" s="1012" t="s">
        <v>1378</v>
      </c>
      <c r="D152" s="1013" t="s">
        <v>1379</v>
      </c>
      <c r="E152" s="1013" t="s">
        <v>203</v>
      </c>
      <c r="F152" s="1014" t="str">
        <f>'Sr. GM-Tractor'!AF8</f>
        <v>193.157.0041053</v>
      </c>
      <c r="G152" s="1015">
        <f>'Sr. GM-Tractor'!AF13</f>
        <v>164065</v>
      </c>
      <c r="I152" s="1209"/>
      <c r="J152" s="1213"/>
    </row>
    <row r="153" spans="1:10" s="357" customFormat="1" ht="21.75" customHeight="1">
      <c r="A153" s="631" t="s">
        <v>1719</v>
      </c>
      <c r="B153" s="1006" t="s">
        <v>626</v>
      </c>
      <c r="C153" s="1007" t="str">
        <f>VLOOKUP(B153,Seed!$B$8:$AE$59,2,0)</f>
        <v>Md Moshiur Rahman</v>
      </c>
      <c r="D153" s="1008" t="str">
        <f>VLOOKUP(B153,Seed!$B$8:$AE$59,3,0)</f>
        <v>Accounts Officer</v>
      </c>
      <c r="E153" s="1008" t="str">
        <f>VLOOKUP(B153,Seed!$B$8:$AE$59,4,0)</f>
        <v>A&amp;F</v>
      </c>
      <c r="F153" s="1009" t="str">
        <f>VLOOKUP(B153,Seed!$B$8:$AE$59,30,0)</f>
        <v>103.103.1353454</v>
      </c>
      <c r="G153" s="1010">
        <f>VLOOKUP(B153,Seed!$B$8:$AE$59,28,0)</f>
        <v>35308</v>
      </c>
      <c r="I153" s="1210" t="s">
        <v>846</v>
      </c>
      <c r="J153" s="1210">
        <f>SUM(G153:G193)</f>
        <v>1355236</v>
      </c>
    </row>
    <row r="154" spans="1:10" s="357" customFormat="1" ht="21.75" customHeight="1">
      <c r="A154" s="631" t="s">
        <v>1720</v>
      </c>
      <c r="B154" s="632" t="s">
        <v>55</v>
      </c>
      <c r="C154" s="633" t="str">
        <f>VLOOKUP(B154,Seed!$B$8:$AE$59,2,0)</f>
        <v>Md. Rabiul Islam</v>
      </c>
      <c r="D154" s="634" t="str">
        <f>VLOOKUP(B154,Seed!$B$8:$AE$59,3,0)</f>
        <v>Executive Accounts</v>
      </c>
      <c r="E154" s="634" t="str">
        <f>VLOOKUP(B154,Seed!$B$8:$AE$59,4,0)</f>
        <v>A&amp;F (Factory)</v>
      </c>
      <c r="F154" s="635" t="str">
        <f>VLOOKUP(B154,Seed!$B$8:$AE$59,30,0)</f>
        <v>103.103.1252596</v>
      </c>
      <c r="G154" s="636">
        <f>VLOOKUP(B154,Seed!$B$8:$AE$59,28,0)</f>
        <v>31913</v>
      </c>
      <c r="I154" s="1211"/>
      <c r="J154" s="1211"/>
    </row>
    <row r="155" spans="1:10" s="357" customFormat="1" ht="21.75" customHeight="1">
      <c r="A155" s="631" t="s">
        <v>1721</v>
      </c>
      <c r="B155" s="632" t="s">
        <v>520</v>
      </c>
      <c r="C155" s="633" t="str">
        <f>VLOOKUP(B155,Seed!$B$8:$AE$59,2,0)</f>
        <v>Md. Sorowar Hossain</v>
      </c>
      <c r="D155" s="634" t="str">
        <f>VLOOKUP(B155,Seed!$B$8:$AE$59,3,0)</f>
        <v>Officer (Production)</v>
      </c>
      <c r="E155" s="634" t="str">
        <f>VLOOKUP(B155,Seed!$B$8:$AE$59,4,0)</f>
        <v>Seeds</v>
      </c>
      <c r="F155" s="635" t="str">
        <f>VLOOKUP(B155,Seed!$B$8:$AE$59,30,0)</f>
        <v>125.103.0080896</v>
      </c>
      <c r="G155" s="636">
        <f>VLOOKUP(B155,Seed!$B$8:$AE$59,28,0)</f>
        <v>44428</v>
      </c>
      <c r="I155" s="1211"/>
      <c r="J155" s="1211"/>
    </row>
    <row r="156" spans="1:10" s="357" customFormat="1" ht="21.75" customHeight="1">
      <c r="A156" s="631" t="s">
        <v>1722</v>
      </c>
      <c r="B156" s="632" t="s">
        <v>514</v>
      </c>
      <c r="C156" s="633" t="str">
        <f>VLOOKUP(B156,Seed!$B$8:$AE$59,2,0)</f>
        <v>Md. Abdur Rouf</v>
      </c>
      <c r="D156" s="634" t="str">
        <f>VLOOKUP(B156,Seed!$B$8:$AE$59,3,0)</f>
        <v>Sr. Officer (Production)</v>
      </c>
      <c r="E156" s="634" t="str">
        <f>VLOOKUP(B156,Seed!$B$8:$AE$59,4,0)</f>
        <v>Seeds (Factory)</v>
      </c>
      <c r="F156" s="635" t="str">
        <f>VLOOKUP(B156,Seed!$B$8:$AE$59,30,0)</f>
        <v>125.103.0080924</v>
      </c>
      <c r="G156" s="636">
        <f>VLOOKUP(B156,Seed!$B$8:$AE$59,28,0)</f>
        <v>47192</v>
      </c>
      <c r="I156" s="1211"/>
      <c r="J156" s="1211"/>
    </row>
    <row r="157" spans="1:10" s="357" customFormat="1" ht="21.75" customHeight="1">
      <c r="A157" s="631" t="s">
        <v>1723</v>
      </c>
      <c r="B157" s="632" t="s">
        <v>849</v>
      </c>
      <c r="C157" s="633" t="str">
        <f>VLOOKUP(B157,Seed!$B$8:$AE$59,2,0)</f>
        <v>Md Sultan Mia</v>
      </c>
      <c r="D157" s="634" t="str">
        <f>VLOOKUP(B157,Seed!$B$8:$AE$59,3,0)</f>
        <v>Office Assistant</v>
      </c>
      <c r="E157" s="634" t="str">
        <f>VLOOKUP(B157,Seed!$B$8:$AE$59,4,0)</f>
        <v>Seed</v>
      </c>
      <c r="F157" s="635" t="str">
        <f>VLOOKUP(B157,Seed!$B$8:$AE$59,30,0)</f>
        <v>175.105.0028351</v>
      </c>
      <c r="G157" s="636">
        <f>VLOOKUP(B157,Seed!$B$8:$AE$59,28,0)</f>
        <v>15229</v>
      </c>
      <c r="I157" s="1211"/>
      <c r="J157" s="1211"/>
    </row>
    <row r="158" spans="1:10" s="357" customFormat="1" ht="21.75" customHeight="1">
      <c r="A158" s="631" t="s">
        <v>1724</v>
      </c>
      <c r="B158" s="632" t="s">
        <v>1281</v>
      </c>
      <c r="C158" s="633" t="str">
        <f>VLOOKUP(B158,Seed!$B$8:$AE$59,2,0)</f>
        <v>Md Obaidul Haque</v>
      </c>
      <c r="D158" s="634" t="str">
        <f>VLOOKUP(B158,Seed!$B$8:$AE$59,3,0)</f>
        <v>Night Gurd</v>
      </c>
      <c r="E158" s="634" t="str">
        <f>VLOOKUP(B158,Seed!$B$8:$AE$59,4,0)</f>
        <v>Seed</v>
      </c>
      <c r="F158" s="635" t="str">
        <f>VLOOKUP(B158,Seed!$B$8:$AE$59,30,0)</f>
        <v>175.158.0061833</v>
      </c>
      <c r="G158" s="636">
        <f>VLOOKUP(B158,Seed!$B$8:$AE$59,28,0)</f>
        <v>8730</v>
      </c>
      <c r="I158" s="1211"/>
      <c r="J158" s="1211"/>
    </row>
    <row r="159" spans="1:10" s="357" customFormat="1" ht="21.75" customHeight="1">
      <c r="A159" s="631" t="s">
        <v>1725</v>
      </c>
      <c r="B159" s="632" t="s">
        <v>1380</v>
      </c>
      <c r="C159" s="633" t="str">
        <f>VLOOKUP(B159,Seed!$B$8:$AE$59,2,0)</f>
        <v>Tofail Ahamed</v>
      </c>
      <c r="D159" s="634" t="str">
        <f>VLOOKUP(B159,Seed!$B$8:$AE$59,3,0)</f>
        <v>Sr. Manager</v>
      </c>
      <c r="E159" s="634" t="str">
        <f>VLOOKUP(B159,Seed!$B$8:$AE$59,4,0)</f>
        <v>Seed</v>
      </c>
      <c r="F159" s="635" t="str">
        <f>VLOOKUP(B159,Seed!$B$8:$AE$59,30,0)</f>
        <v>103.103.1400910</v>
      </c>
      <c r="G159" s="636">
        <f>VLOOKUP(B159,Seed!$B$8:$AE$59,28,0)</f>
        <v>102515</v>
      </c>
      <c r="I159" s="1211"/>
      <c r="J159" s="1211"/>
    </row>
    <row r="160" spans="1:10" s="357" customFormat="1" ht="21.75" customHeight="1">
      <c r="A160" s="631" t="s">
        <v>1726</v>
      </c>
      <c r="B160" s="632" t="s">
        <v>694</v>
      </c>
      <c r="C160" s="633" t="str">
        <f>VLOOKUP(B160,Seed!$B$8:$AE$59,2,0)</f>
        <v>Md Mizanur Rahman</v>
      </c>
      <c r="D160" s="634" t="str">
        <f>VLOOKUP(B160,Seed!$B$8:$AE$59,3,0)</f>
        <v>Assistant Manager</v>
      </c>
      <c r="E160" s="634" t="str">
        <f>VLOOKUP(B160,Seed!$B$8:$AE$59,4,0)</f>
        <v>R&amp;D</v>
      </c>
      <c r="F160" s="635" t="str">
        <f>VLOOKUP(B160,Seed!$B$8:$AE$59,30,0)</f>
        <v>125.159.0000529</v>
      </c>
      <c r="G160" s="636">
        <f>VLOOKUP(B160,Seed!$B$8:$AE$59,28,0)</f>
        <v>86013</v>
      </c>
      <c r="I160" s="1211"/>
      <c r="J160" s="1211"/>
    </row>
    <row r="161" spans="1:10" s="357" customFormat="1" ht="21.75" customHeight="1">
      <c r="A161" s="631" t="s">
        <v>1727</v>
      </c>
      <c r="B161" s="632" t="s">
        <v>702</v>
      </c>
      <c r="C161" s="633" t="str">
        <f>VLOOKUP(B161,Seed!$B$8:$AE$59,2,0)</f>
        <v>Md. Mizanur Rahman Milon</v>
      </c>
      <c r="D161" s="634" t="str">
        <f>VLOOKUP(B161,Seed!$B$8:$AE$59,3,0)</f>
        <v>Night Gurd</v>
      </c>
      <c r="E161" s="634" t="str">
        <f>VLOOKUP(B161,Seed!$B$8:$AE$59,4,0)</f>
        <v>R&amp;D (Seed)</v>
      </c>
      <c r="F161" s="635" t="str">
        <f>VLOOKUP(B161,Seed!$B$8:$AE$59,30,0)</f>
        <v>125.158.0097944</v>
      </c>
      <c r="G161" s="636">
        <f>VLOOKUP(B161,Seed!$B$8:$AE$59,28,0)</f>
        <v>13289</v>
      </c>
      <c r="I161" s="1211"/>
      <c r="J161" s="1211"/>
    </row>
    <row r="162" spans="1:10" s="357" customFormat="1" ht="21.75" customHeight="1">
      <c r="A162" s="631" t="s">
        <v>1728</v>
      </c>
      <c r="B162" s="632" t="s">
        <v>1444</v>
      </c>
      <c r="C162" s="633" t="str">
        <f>VLOOKUP(B162,Seed!$B$8:$AE$59,2,0)</f>
        <v>Md. Rashed Dastgir</v>
      </c>
      <c r="D162" s="634" t="str">
        <f>VLOOKUP(B162,Seed!$B$8:$AE$59,3,0)</f>
        <v>Assistant Manager (R&amp;D)</v>
      </c>
      <c r="E162" s="634" t="str">
        <f>VLOOKUP(B162,Seed!$B$8:$AE$59,4,0)</f>
        <v>Pesticide &amp; Fertilizer</v>
      </c>
      <c r="F162" s="635" t="str">
        <f>VLOOKUP(B162,Seed!$B$8:$AE$59,30,0)</f>
        <v>103.103.1404353</v>
      </c>
      <c r="G162" s="636">
        <f>VLOOKUP(B162,Seed!$B$8:$AE$59,28,0)</f>
        <v>49583</v>
      </c>
      <c r="I162" s="1211"/>
      <c r="J162" s="1211"/>
    </row>
    <row r="163" spans="1:10" s="357" customFormat="1" ht="18" customHeight="1">
      <c r="A163" s="631" t="s">
        <v>1729</v>
      </c>
      <c r="B163" s="639" t="s">
        <v>1161</v>
      </c>
      <c r="C163" s="633" t="str">
        <f>VLOOKUP(B163,Seed!$B$8:$AE$59,2,0)</f>
        <v>Sujan Chandra Roy</v>
      </c>
      <c r="D163" s="634" t="str">
        <f>VLOOKUP(B163,Seed!$B$8:$AE$59,3,0)</f>
        <v>Farm Supervisor</v>
      </c>
      <c r="E163" s="634" t="str">
        <f>VLOOKUP(B163,Seed!$B$8:$AE$59,4,0)</f>
        <v>Seed</v>
      </c>
      <c r="F163" s="635" t="str">
        <f>VLOOKUP(B163,Seed!$B$8:$AE$59,30,0)</f>
        <v>125.103.0229731</v>
      </c>
      <c r="G163" s="636">
        <f>VLOOKUP(B163,Seed!$B$8:$AE$59,28,0)</f>
        <v>26000</v>
      </c>
      <c r="I163" s="1211"/>
      <c r="J163" s="1211"/>
    </row>
    <row r="164" spans="1:10" s="357" customFormat="1" ht="18" customHeight="1">
      <c r="A164" s="631" t="s">
        <v>1730</v>
      </c>
      <c r="B164" s="632" t="s">
        <v>558</v>
      </c>
      <c r="C164" s="633" t="str">
        <f>VLOOKUP(B164,Seed!$B$8:$AE$59,2,0)</f>
        <v>Md. Billal Hossain</v>
      </c>
      <c r="D164" s="634" t="str">
        <f>VLOOKUP(B164,Seed!$B$8:$AE$59,3,0)</f>
        <v>STSO</v>
      </c>
      <c r="E164" s="634" t="str">
        <f>VLOOKUP(B164,Seed!$B$8:$AE$59,4,0)</f>
        <v>S&amp;M</v>
      </c>
      <c r="F164" s="635" t="str">
        <f>VLOOKUP(B164,Seed!$B$8:$AE$59,30,0)</f>
        <v>268.151.0086723</v>
      </c>
      <c r="G164" s="636">
        <f>VLOOKUP(B164,Seed!$B$8:$AE$59,28,0)</f>
        <v>27716</v>
      </c>
      <c r="I164" s="1211"/>
      <c r="J164" s="1211"/>
    </row>
    <row r="165" spans="1:10" s="357" customFormat="1" ht="18" customHeight="1">
      <c r="A165" s="631" t="s">
        <v>1731</v>
      </c>
      <c r="B165" s="632" t="s">
        <v>588</v>
      </c>
      <c r="C165" s="633" t="str">
        <f>VLOOKUP(B165,Seed!$B$8:$AE$59,2,0)</f>
        <v>Md. Rashedul Islam Chowdhury</v>
      </c>
      <c r="D165" s="634" t="str">
        <f>VLOOKUP(B165,Seed!$B$8:$AE$59,3,0)</f>
        <v>STSO</v>
      </c>
      <c r="E165" s="634" t="str">
        <f>VLOOKUP(B165,Seed!$B$8:$AE$59,4,0)</f>
        <v>SEED</v>
      </c>
      <c r="F165" s="635" t="str">
        <f>VLOOKUP(B165,Seed!$B$8:$AE$59,30,0)</f>
        <v>162.158.0089635</v>
      </c>
      <c r="G165" s="636">
        <f>VLOOKUP(B165,Seed!$B$8:$AE$59,28,0)</f>
        <v>30335</v>
      </c>
      <c r="I165" s="1211"/>
      <c r="J165" s="1211"/>
    </row>
    <row r="166" spans="1:10" s="357" customFormat="1" ht="18" customHeight="1">
      <c r="A166" s="631" t="s">
        <v>1732</v>
      </c>
      <c r="B166" s="632" t="s">
        <v>641</v>
      </c>
      <c r="C166" s="633" t="str">
        <f>VLOOKUP(B166,Seed!$B$8:$AE$59,2,0)</f>
        <v>Md Mustafa Kamal</v>
      </c>
      <c r="D166" s="634" t="str">
        <f>VLOOKUP(B166,Seed!$B$8:$AE$59,3,0)</f>
        <v>Territory Manager</v>
      </c>
      <c r="E166" s="634" t="str">
        <f>VLOOKUP(B166,Seed!$B$8:$AE$59,4,0)</f>
        <v>S&amp;M</v>
      </c>
      <c r="F166" s="635" t="str">
        <f>VLOOKUP(B166,Seed!$B$8:$AE$59,30,0)</f>
        <v>156.151.0345150</v>
      </c>
      <c r="G166" s="636">
        <f>VLOOKUP(B166,Seed!$B$8:$AE$59,28,0)</f>
        <v>35793</v>
      </c>
      <c r="I166" s="1211"/>
      <c r="J166" s="1211"/>
    </row>
    <row r="167" spans="1:10" s="357" customFormat="1" ht="18" customHeight="1">
      <c r="A167" s="631" t="s">
        <v>1733</v>
      </c>
      <c r="B167" s="632" t="s">
        <v>645</v>
      </c>
      <c r="C167" s="633" t="str">
        <f>VLOOKUP(B167,Seed!$B$8:$AE$59,2,0)</f>
        <v>Md Rahem Mia</v>
      </c>
      <c r="D167" s="634" t="str">
        <f>VLOOKUP(B167,Seed!$B$8:$AE$59,3,0)</f>
        <v>STSO</v>
      </c>
      <c r="E167" s="634" t="str">
        <f>VLOOKUP(B167,Seed!$B$8:$AE$59,4,0)</f>
        <v>S&amp;M</v>
      </c>
      <c r="F167" s="635" t="str">
        <f>VLOOKUP(B167,Seed!$B$8:$AE$59,30,0)</f>
        <v>231.158.0086891</v>
      </c>
      <c r="G167" s="636">
        <f>VLOOKUP(B167,Seed!$B$8:$AE$59,28,0)</f>
        <v>28104</v>
      </c>
      <c r="I167" s="1211"/>
      <c r="J167" s="1211"/>
    </row>
    <row r="168" spans="1:10" s="357" customFormat="1" ht="18" customHeight="1">
      <c r="A168" s="631" t="s">
        <v>1734</v>
      </c>
      <c r="B168" s="632" t="s">
        <v>700</v>
      </c>
      <c r="C168" s="633" t="str">
        <f>VLOOKUP(B168,Seed!$B$8:$AE$59,2,0)</f>
        <v>Md Azabul Hossen</v>
      </c>
      <c r="D168" s="634" t="str">
        <f>VLOOKUP(B168,Seed!$B$8:$AE$59,3,0)</f>
        <v>TSO</v>
      </c>
      <c r="E168" s="634" t="str">
        <f>VLOOKUP(B168,Seed!$B$8:$AE$59,4,0)</f>
        <v>S&amp;M</v>
      </c>
      <c r="F168" s="635" t="str">
        <f>VLOOKUP(B168,Seed!$B$8:$AE$59,30,0)</f>
        <v>180.158.0056161</v>
      </c>
      <c r="G168" s="636">
        <f>VLOOKUP(B168,Seed!$B$8:$AE$59,28,0)</f>
        <v>27910</v>
      </c>
      <c r="I168" s="1211"/>
      <c r="J168" s="1211"/>
    </row>
    <row r="169" spans="1:10" s="357" customFormat="1" ht="18" customHeight="1">
      <c r="A169" s="631" t="s">
        <v>1735</v>
      </c>
      <c r="B169" s="632" t="s">
        <v>851</v>
      </c>
      <c r="C169" s="633" t="str">
        <f>VLOOKUP(B169,Seed!$B$8:$AE$59,2,0)</f>
        <v>Md Mazbahol Haque</v>
      </c>
      <c r="D169" s="634" t="str">
        <f>VLOOKUP(B169,Seed!$B$8:$AE$59,3,0)</f>
        <v>Territory Manager</v>
      </c>
      <c r="E169" s="634" t="str">
        <f>VLOOKUP(B169,Seed!$B$8:$AE$59,4,0)</f>
        <v>Seed</v>
      </c>
      <c r="F169" s="635" t="str">
        <f>VLOOKUP(B169,Seed!$B$8:$AE$59,30,0)</f>
        <v>273.103.0017265</v>
      </c>
      <c r="G169" s="636">
        <f>VLOOKUP(B169,Seed!$B$8:$AE$59,28,0)</f>
        <v>34215</v>
      </c>
      <c r="I169" s="1211"/>
      <c r="J169" s="1211"/>
    </row>
    <row r="170" spans="1:10" s="357" customFormat="1" ht="18" customHeight="1">
      <c r="A170" s="631" t="s">
        <v>1736</v>
      </c>
      <c r="B170" s="632" t="s">
        <v>914</v>
      </c>
      <c r="C170" s="633" t="str">
        <f>VLOOKUP(B170,Seed!$B$8:$AE$59,2,0)</f>
        <v>Md Muradul Momin Murad</v>
      </c>
      <c r="D170" s="634" t="str">
        <f>VLOOKUP(B170,Seed!$B$8:$AE$59,3,0)</f>
        <v>Sr. Territory Sales officer</v>
      </c>
      <c r="E170" s="634" t="str">
        <f>VLOOKUP(B170,Seed!$B$8:$AE$59,4,0)</f>
        <v>Seed</v>
      </c>
      <c r="F170" s="635" t="str">
        <f>VLOOKUP(B170,Seed!$B$8:$AE$59,30,0)</f>
        <v>175.151.0176230</v>
      </c>
      <c r="G170" s="636">
        <f>VLOOKUP(B170,Seed!$B$8:$AE$59,28,0)</f>
        <v>31318</v>
      </c>
      <c r="I170" s="1211"/>
      <c r="J170" s="1211"/>
    </row>
    <row r="171" spans="1:10" s="357" customFormat="1" ht="18" customHeight="1">
      <c r="A171" s="631" t="s">
        <v>1737</v>
      </c>
      <c r="B171" s="632" t="s">
        <v>1159</v>
      </c>
      <c r="C171" s="633" t="str">
        <f>VLOOKUP(B171,Seed!$B$8:$AE$59,2,0)</f>
        <v>Md Mozahid</v>
      </c>
      <c r="D171" s="634" t="str">
        <f>VLOOKUP(B171,Seed!$B$8:$AE$59,3,0)</f>
        <v>Territory Sales Officer</v>
      </c>
      <c r="E171" s="634" t="str">
        <f>VLOOKUP(B171,Seed!$B$8:$AE$59,4,0)</f>
        <v>Seed</v>
      </c>
      <c r="F171" s="635" t="str">
        <f>VLOOKUP(B171,Seed!$B$8:$AE$59,30,0)</f>
        <v>231.158.0123996</v>
      </c>
      <c r="G171" s="636">
        <f>VLOOKUP(B171,Seed!$B$8:$AE$59,28,0)</f>
        <v>25000</v>
      </c>
      <c r="I171" s="1211"/>
      <c r="J171" s="1211"/>
    </row>
    <row r="172" spans="1:10" s="357" customFormat="1" ht="18" customHeight="1">
      <c r="A172" s="631" t="s">
        <v>1738</v>
      </c>
      <c r="B172" s="632" t="s">
        <v>667</v>
      </c>
      <c r="C172" s="633" t="str">
        <f>VLOOKUP(B172,Seed!$B$8:$AE$59,2,0)</f>
        <v>Md. Nazim Uddin</v>
      </c>
      <c r="D172" s="634" t="str">
        <f>VLOOKUP(B172,Seed!$B$8:$AE$59,3,0)</f>
        <v>Driver</v>
      </c>
      <c r="E172" s="634" t="str">
        <f>VLOOKUP(B172,Seed!$B$8:$AE$59,4,0)</f>
        <v>Transport</v>
      </c>
      <c r="F172" s="635" t="str">
        <f>VLOOKUP(B172,Seed!$B$8:$AE$59,30,0)</f>
        <v>103.103.1355576</v>
      </c>
      <c r="G172" s="636">
        <f>VLOOKUP(B172,Seed!$B$8:$AE$59,28,0)</f>
        <v>19885</v>
      </c>
      <c r="I172" s="1211"/>
      <c r="J172" s="1211"/>
    </row>
    <row r="173" spans="1:10" s="357" customFormat="1" ht="18" customHeight="1">
      <c r="A173" s="631" t="s">
        <v>1739</v>
      </c>
      <c r="B173" s="632" t="s">
        <v>1283</v>
      </c>
      <c r="C173" s="633" t="str">
        <f>VLOOKUP(B173,Seed!$B$8:$AE$59,2,0)</f>
        <v>Russel Ahmed</v>
      </c>
      <c r="D173" s="634" t="str">
        <f>VLOOKUP(B173,Seed!$B$8:$AE$59,3,0)</f>
        <v>Sr. Territory Sales Officer</v>
      </c>
      <c r="E173" s="634" t="str">
        <f>VLOOKUP(B173,Seed!$B$8:$AE$59,4,0)</f>
        <v>Seed</v>
      </c>
      <c r="F173" s="635" t="str">
        <f>VLOOKUP(B173,Seed!$B$8:$AE$59,30,0)</f>
        <v>162.103.0244468</v>
      </c>
      <c r="G173" s="636">
        <f>VLOOKUP(B173,Seed!$B$8:$AE$59,28,0)</f>
        <v>28000</v>
      </c>
      <c r="I173" s="1211"/>
      <c r="J173" s="1211"/>
    </row>
    <row r="174" spans="1:10" s="357" customFormat="1" ht="18" customHeight="1">
      <c r="A174" s="631" t="s">
        <v>1740</v>
      </c>
      <c r="B174" s="632" t="s">
        <v>1313</v>
      </c>
      <c r="C174" s="633" t="str">
        <f>VLOOKUP(B174,Seed!$B$8:$AE$59,2,0)</f>
        <v>Nazmul Haque</v>
      </c>
      <c r="D174" s="634" t="str">
        <f>VLOOKUP(B174,Seed!$B$8:$AE$59,3,0)</f>
        <v>Sr. Territory Sales Officer</v>
      </c>
      <c r="E174" s="634" t="str">
        <f>VLOOKUP(B174,Seed!$B$8:$AE$59,4,0)</f>
        <v>Seed</v>
      </c>
      <c r="F174" s="635" t="str">
        <f>VLOOKUP(B174,Seed!$B$8:$AE$59,30,0)</f>
        <v>266.151.0076137</v>
      </c>
      <c r="G174" s="636">
        <f>VLOOKUP(B174,Seed!$B$8:$AE$59,28,0)</f>
        <v>26840</v>
      </c>
      <c r="I174" s="1211"/>
      <c r="J174" s="1211"/>
    </row>
    <row r="175" spans="1:10" s="357" customFormat="1" ht="18" customHeight="1">
      <c r="A175" s="631" t="s">
        <v>1741</v>
      </c>
      <c r="B175" s="632" t="s">
        <v>1369</v>
      </c>
      <c r="C175" s="633" t="str">
        <f>VLOOKUP(B175,Seed!$B$8:$AE$59,2,0)</f>
        <v>Md Forhad Hosen</v>
      </c>
      <c r="D175" s="634" t="str">
        <f>VLOOKUP(B175,Seed!$B$8:$AE$59,3,0)</f>
        <v>Sr. Territory Sales Officer</v>
      </c>
      <c r="E175" s="634" t="str">
        <f>VLOOKUP(B175,Seed!$B$8:$AE$59,4,0)</f>
        <v>Seed</v>
      </c>
      <c r="F175" s="635" t="str">
        <f>VLOOKUP(B175,Seed!$B$8:$AE$59,30,0)</f>
        <v>125.158.0143392</v>
      </c>
      <c r="G175" s="636">
        <f>VLOOKUP(B175,Seed!$B$8:$AE$59,28,0)</f>
        <v>25825</v>
      </c>
      <c r="I175" s="1211"/>
      <c r="J175" s="1211"/>
    </row>
    <row r="176" spans="1:10" s="357" customFormat="1" ht="18" customHeight="1">
      <c r="A176" s="631" t="s">
        <v>1742</v>
      </c>
      <c r="B176" s="632" t="s">
        <v>1382</v>
      </c>
      <c r="C176" s="633" t="str">
        <f>VLOOKUP(B176,Seed!$B$8:$AE$59,2,0)</f>
        <v>Jamal Hossain</v>
      </c>
      <c r="D176" s="634" t="str">
        <f>VLOOKUP(B176,Seed!$B$8:$AE$59,3,0)</f>
        <v>Manager</v>
      </c>
      <c r="E176" s="634" t="str">
        <f>VLOOKUP(B176,Seed!$B$8:$AE$59,4,0)</f>
        <v>Seed</v>
      </c>
      <c r="F176" s="635" t="str">
        <f>VLOOKUP(B176,Seed!$B$8:$AE$59,30,0)</f>
        <v>115.103.0145306</v>
      </c>
      <c r="G176" s="636">
        <f>VLOOKUP(B176,Seed!$B$8:$AE$59,28,0)</f>
        <v>98075</v>
      </c>
      <c r="I176" s="1211"/>
      <c r="J176" s="1211"/>
    </row>
    <row r="177" spans="1:10" s="357" customFormat="1" ht="18" customHeight="1">
      <c r="A177" s="631" t="s">
        <v>1743</v>
      </c>
      <c r="B177" s="632" t="s">
        <v>1614</v>
      </c>
      <c r="C177" s="633" t="str">
        <f>VLOOKUP(B177,Seed!$B$8:$AE$59,2,0)</f>
        <v>Md Alal Hossain Mithu</v>
      </c>
      <c r="D177" s="634" t="str">
        <f>VLOOKUP(B177,Seed!$B$8:$AE$59,3,0)</f>
        <v>Territory Sales Officer</v>
      </c>
      <c r="E177" s="634" t="str">
        <f>VLOOKUP(B177,Seed!$B$8:$AE$59,4,0)</f>
        <v>Seed</v>
      </c>
      <c r="F177" s="635" t="str">
        <f>VLOOKUP(B177,Seed!$B$8:$AE$59,30,0)</f>
        <v>273.158.0020384</v>
      </c>
      <c r="G177" s="636">
        <f>VLOOKUP(B177,Seed!$B$8:$AE$59,28,0)</f>
        <v>20840</v>
      </c>
      <c r="I177" s="1211"/>
      <c r="J177" s="1211"/>
    </row>
    <row r="178" spans="1:10" s="357" customFormat="1" ht="18" customHeight="1">
      <c r="A178" s="631" t="s">
        <v>1744</v>
      </c>
      <c r="B178" s="632" t="s">
        <v>1625</v>
      </c>
      <c r="C178" s="633" t="str">
        <f>VLOOKUP(B178,Seed!$B$8:$AE$59,2,0)</f>
        <v>Md Ziaur Rahman</v>
      </c>
      <c r="D178" s="634" t="str">
        <f>VLOOKUP(B178,Seed!$B$8:$AE$59,3,0)</f>
        <v>Deputy Manager</v>
      </c>
      <c r="E178" s="634" t="str">
        <f>VLOOKUP(B178,Seed!$B$8:$AE$59,4,0)</f>
        <v>Seed</v>
      </c>
      <c r="F178" s="635" t="str">
        <f>VLOOKUP(B178,Seed!$B$8:$AE$59,30,0)</f>
        <v>125.157.0089459</v>
      </c>
      <c r="G178" s="636">
        <f>VLOOKUP(B178,Seed!$B$8:$AE$59,28,0)</f>
        <v>44500</v>
      </c>
      <c r="I178" s="1211"/>
      <c r="J178" s="1211"/>
    </row>
    <row r="179" spans="1:10" s="357" customFormat="1" ht="18" customHeight="1">
      <c r="A179" s="631" t="s">
        <v>1745</v>
      </c>
      <c r="B179" s="632" t="s">
        <v>1626</v>
      </c>
      <c r="C179" s="633" t="str">
        <f>VLOOKUP(B179,Seed!$B$8:$AE$59,2,0)</f>
        <v>Md Arif Hosen</v>
      </c>
      <c r="D179" s="634" t="str">
        <f>VLOOKUP(B179,Seed!$B$8:$AE$59,3,0)</f>
        <v>Territory Sales Officer</v>
      </c>
      <c r="E179" s="634" t="str">
        <f>VLOOKUP(B179,Seed!$B$8:$AE$59,4,0)</f>
        <v>Seed</v>
      </c>
      <c r="F179" s="635" t="str">
        <f>VLOOKUP(B179,Seed!$B$8:$AE$59,30,0)</f>
        <v>273.158.0029384</v>
      </c>
      <c r="G179" s="636">
        <f>VLOOKUP(B179,Seed!$B$8:$AE$59,28,0)</f>
        <v>24000</v>
      </c>
      <c r="I179" s="1211"/>
      <c r="J179" s="1211"/>
    </row>
    <row r="180" spans="1:10" s="357" customFormat="1" ht="18" customHeight="1">
      <c r="A180" s="631" t="s">
        <v>1746</v>
      </c>
      <c r="B180" s="632" t="s">
        <v>1643</v>
      </c>
      <c r="C180" s="633" t="str">
        <f>VLOOKUP(B180,Seed!$B$8:$AE$59,2,0)</f>
        <v>Mohammad Elias Parwary</v>
      </c>
      <c r="D180" s="634" t="str">
        <f>VLOOKUP(B180,Seed!$B$8:$AE$59,3,0)</f>
        <v>Territory Sales Officer</v>
      </c>
      <c r="E180" s="634" t="str">
        <f>VLOOKUP(B180,Seed!$B$8:$AE$59,4,0)</f>
        <v>Seed</v>
      </c>
      <c r="F180" s="635" t="str">
        <f>VLOOKUP(B180,Seed!$B$8:$AE$59,30,0)</f>
        <v>250.158.0069835</v>
      </c>
      <c r="G180" s="636">
        <f>VLOOKUP(B180,Seed!$B$8:$AE$59,28,0)</f>
        <v>23000</v>
      </c>
      <c r="I180" s="1211"/>
      <c r="J180" s="1211"/>
    </row>
    <row r="181" spans="1:10" s="357" customFormat="1" ht="18" customHeight="1">
      <c r="A181" s="631" t="s">
        <v>1747</v>
      </c>
      <c r="B181" s="632" t="s">
        <v>1644</v>
      </c>
      <c r="C181" s="633" t="str">
        <f>VLOOKUP(B181,Seed!$B$8:$AE$59,2,0)</f>
        <v>Samiul Haque</v>
      </c>
      <c r="D181" s="634" t="str">
        <f>VLOOKUP(B181,Seed!$B$8:$AE$59,3,0)</f>
        <v>Territory Sales Officer</v>
      </c>
      <c r="E181" s="634" t="str">
        <f>VLOOKUP(B181,Seed!$B$8:$AE$59,4,0)</f>
        <v>Seed</v>
      </c>
      <c r="F181" s="635" t="str">
        <f>VLOOKUP(B181,Seed!$B$8:$AE$59,30,0)</f>
        <v>156.158.0123305</v>
      </c>
      <c r="G181" s="636">
        <f>VLOOKUP(B181,Seed!$B$8:$AE$59,28,0)</f>
        <v>18000</v>
      </c>
      <c r="I181" s="1211"/>
      <c r="J181" s="1211"/>
    </row>
    <row r="182" spans="1:10" s="357" customFormat="1" ht="18" customHeight="1">
      <c r="A182" s="631" t="s">
        <v>1748</v>
      </c>
      <c r="B182" s="632" t="s">
        <v>1645</v>
      </c>
      <c r="C182" s="633" t="str">
        <f>VLOOKUP(B182,Seed!$B$8:$AE$59,2,0)</f>
        <v>Md Shariful Islam</v>
      </c>
      <c r="D182" s="634" t="str">
        <f>VLOOKUP(B182,Seed!$B$8:$AE$59,3,0)</f>
        <v>Sr. Territory Sales Officer</v>
      </c>
      <c r="E182" s="634" t="str">
        <f>VLOOKUP(B182,Seed!$B$8:$AE$59,4,0)</f>
        <v>Seed</v>
      </c>
      <c r="F182" s="635" t="str">
        <f>VLOOKUP(B182,Seed!$B$8:$AE$59,30,0)</f>
        <v>172.151.0228417</v>
      </c>
      <c r="G182" s="636">
        <f>VLOOKUP(B182,Seed!$B$8:$AE$59,28,0)</f>
        <v>24840</v>
      </c>
      <c r="I182" s="1211"/>
      <c r="J182" s="1211"/>
    </row>
    <row r="183" spans="1:10" s="357" customFormat="1" ht="18" customHeight="1">
      <c r="A183" s="631" t="s">
        <v>1749</v>
      </c>
      <c r="B183" s="632" t="s">
        <v>1646</v>
      </c>
      <c r="C183" s="633" t="str">
        <f>VLOOKUP(B183,Seed!$B$8:$AE$59,2,0)</f>
        <v>Sabbir Ahmed Siddiki</v>
      </c>
      <c r="D183" s="634" t="str">
        <f>VLOOKUP(B183,Seed!$B$8:$AE$59,3,0)</f>
        <v>Territory Sales Officer</v>
      </c>
      <c r="E183" s="634" t="str">
        <f>VLOOKUP(B183,Seed!$B$8:$AE$59,4,0)</f>
        <v>Seed</v>
      </c>
      <c r="F183" s="635" t="str">
        <f>VLOOKUP(B183,Seed!$B$8:$AE$59,30,0)</f>
        <v>251.103.0062398</v>
      </c>
      <c r="G183" s="636">
        <f>VLOOKUP(B183,Seed!$B$8:$AE$59,28,0)</f>
        <v>22000</v>
      </c>
      <c r="I183" s="1211"/>
      <c r="J183" s="1211"/>
    </row>
    <row r="184" spans="1:10" s="357" customFormat="1" ht="18" customHeight="1">
      <c r="A184" s="631" t="s">
        <v>1750</v>
      </c>
      <c r="B184" s="632" t="s">
        <v>1647</v>
      </c>
      <c r="C184" s="633" t="str">
        <f>VLOOKUP(B184,Seed!$B$8:$AE$59,2,0)</f>
        <v>Md Abu Said</v>
      </c>
      <c r="D184" s="634" t="str">
        <f>VLOOKUP(B184,Seed!$B$8:$AE$59,3,0)</f>
        <v>Territory Sales Officer</v>
      </c>
      <c r="E184" s="634" t="str">
        <f>VLOOKUP(B184,Seed!$B$8:$AE$59,4,0)</f>
        <v>Seed</v>
      </c>
      <c r="F184" s="635" t="str">
        <f>VLOOKUP(B184,Seed!$B$8:$AE$59,30,0)</f>
        <v>125.158.0165255</v>
      </c>
      <c r="G184" s="636">
        <f>VLOOKUP(B184,Seed!$B$8:$AE$59,28,0)</f>
        <v>18000</v>
      </c>
      <c r="I184" s="1211"/>
      <c r="J184" s="1211"/>
    </row>
    <row r="185" spans="1:10" s="357" customFormat="1" ht="18" customHeight="1">
      <c r="A185" s="631" t="s">
        <v>1751</v>
      </c>
      <c r="B185" s="632" t="s">
        <v>1648</v>
      </c>
      <c r="C185" s="633" t="str">
        <f>VLOOKUP(B185,Seed!$B$8:$AE$59,2,0)</f>
        <v>Md Ariful Islam</v>
      </c>
      <c r="D185" s="634" t="str">
        <f>VLOOKUP(B185,Seed!$B$8:$AE$59,3,0)</f>
        <v>Brand Promotion Officer</v>
      </c>
      <c r="E185" s="634" t="str">
        <f>VLOOKUP(B185,Seed!$B$8:$AE$59,4,0)</f>
        <v>Seed</v>
      </c>
      <c r="F185" s="635" t="str">
        <f>VLOOKUP(B185,Seed!$B$8:$AE$59,30,0)</f>
        <v>163.103.0201515</v>
      </c>
      <c r="G185" s="636">
        <f>VLOOKUP(B185,Seed!$B$8:$AE$59,28,0)</f>
        <v>27000</v>
      </c>
      <c r="I185" s="1211"/>
      <c r="J185" s="1211"/>
    </row>
    <row r="186" spans="1:10" s="357" customFormat="1" ht="18" customHeight="1">
      <c r="A186" s="631" t="s">
        <v>1752</v>
      </c>
      <c r="B186" s="632" t="s">
        <v>1649</v>
      </c>
      <c r="C186" s="633" t="str">
        <f>VLOOKUP(B186,Seed!$B$8:$AE$59,2,0)</f>
        <v>Md Nasir</v>
      </c>
      <c r="D186" s="634" t="str">
        <f>VLOOKUP(B186,Seed!$B$8:$AE$59,3,0)</f>
        <v>Sr. Production Officer</v>
      </c>
      <c r="E186" s="634" t="str">
        <f>VLOOKUP(B186,Seed!$B$8:$AE$59,4,0)</f>
        <v>Seed</v>
      </c>
      <c r="F186" s="635" t="str">
        <f>VLOOKUP(B186,Seed!$B$8:$AE$59,30,0)</f>
        <v>105.103.0101744</v>
      </c>
      <c r="G186" s="636">
        <f>VLOOKUP(B186,Seed!$B$8:$AE$59,28,0)</f>
        <v>39000</v>
      </c>
      <c r="I186" s="1211"/>
      <c r="J186" s="1211"/>
    </row>
    <row r="187" spans="1:10" s="357" customFormat="1" ht="18" customHeight="1">
      <c r="A187" s="631" t="s">
        <v>1753</v>
      </c>
      <c r="B187" s="632" t="s">
        <v>1650</v>
      </c>
      <c r="C187" s="633" t="str">
        <f>VLOOKUP(B187,Seed!$B$8:$AE$59,2,0)</f>
        <v>Md Aminul Islam Manik</v>
      </c>
      <c r="D187" s="634" t="str">
        <f>VLOOKUP(B187,Seed!$B$8:$AE$59,3,0)</f>
        <v>Assistant Breeder</v>
      </c>
      <c r="E187" s="634" t="str">
        <f>VLOOKUP(B187,Seed!$B$8:$AE$59,4,0)</f>
        <v>Seed</v>
      </c>
      <c r="F187" s="635" t="str">
        <f>VLOOKUP(B187,Seed!$B$8:$AE$59,30,0)</f>
        <v>125.103.0239878</v>
      </c>
      <c r="G187" s="636">
        <f>VLOOKUP(B187,Seed!$B$8:$AE$59,28,0)</f>
        <v>35000</v>
      </c>
      <c r="I187" s="1211"/>
      <c r="J187" s="1211"/>
    </row>
    <row r="188" spans="1:10" s="357" customFormat="1" ht="18" customHeight="1">
      <c r="A188" s="631" t="s">
        <v>1754</v>
      </c>
      <c r="B188" s="632" t="s">
        <v>1651</v>
      </c>
      <c r="C188" s="633" t="str">
        <f>VLOOKUP(B188,Seed!$B$8:$AE$59,2,0)</f>
        <v>Md Shamim Talukder</v>
      </c>
      <c r="D188" s="634" t="str">
        <f>VLOOKUP(B188,Seed!$B$8:$AE$59,3,0)</f>
        <v>Sr. Territory Sales Officer</v>
      </c>
      <c r="E188" s="634" t="str">
        <f>VLOOKUP(B188,Seed!$B$8:$AE$59,4,0)</f>
        <v>Seed</v>
      </c>
      <c r="F188" s="635" t="str">
        <f>VLOOKUP(B188,Seed!$B$8:$AE$59,30,0)</f>
        <v>220.103.0019753</v>
      </c>
      <c r="G188" s="636">
        <f>VLOOKUP(B188,Seed!$B$8:$AE$59,28,0)</f>
        <v>31000</v>
      </c>
      <c r="I188" s="1211"/>
      <c r="J188" s="1211"/>
    </row>
    <row r="189" spans="1:10" s="357" customFormat="1" ht="24.75" customHeight="1">
      <c r="A189" s="631" t="s">
        <v>1755</v>
      </c>
      <c r="B189" s="632" t="s">
        <v>1652</v>
      </c>
      <c r="C189" s="633" t="str">
        <f>VLOOKUP(B189,Seed!$B$8:$AE$59,2,0)</f>
        <v>Md Nizam Uddin</v>
      </c>
      <c r="D189" s="634" t="str">
        <f>VLOOKUP(B189,Seed!$B$8:$AE$59,3,0)</f>
        <v>Assistant Territory Sales officer</v>
      </c>
      <c r="E189" s="634" t="str">
        <f>VLOOKUP(B189,Seed!$B$8:$AE$59,4,0)</f>
        <v>Seed</v>
      </c>
      <c r="F189" s="635" t="str">
        <f>VLOOKUP(B189,Seed!$B$8:$AE$59,30,0)</f>
        <v>282.103.0058937</v>
      </c>
      <c r="G189" s="636">
        <f>VLOOKUP(B189,Seed!$B$8:$AE$59,28,0)</f>
        <v>18000</v>
      </c>
      <c r="I189" s="1211"/>
      <c r="J189" s="1211"/>
    </row>
    <row r="190" spans="1:10" s="357" customFormat="1" ht="18" customHeight="1">
      <c r="A190" s="631" t="s">
        <v>1756</v>
      </c>
      <c r="B190" s="632" t="s">
        <v>1784</v>
      </c>
      <c r="C190" s="633" t="str">
        <f>VLOOKUP(B190,Seed!$B$8:$AE$59,2,0)</f>
        <v>Md Abdullah</v>
      </c>
      <c r="D190" s="634" t="str">
        <f>VLOOKUP(B190,Seed!$B$8:$AE$59,3,0)</f>
        <v>Sr. Territory Manager</v>
      </c>
      <c r="E190" s="634" t="str">
        <f>VLOOKUP(B190,Seed!$B$8:$AE$59,4,0)</f>
        <v>Seed</v>
      </c>
      <c r="F190" s="635" t="str">
        <f>VLOOKUP(B190,Seed!$B$8:$AE$59,30,0)</f>
        <v>115.103.0210068</v>
      </c>
      <c r="G190" s="636">
        <f>VLOOKUP(B190,Seed!$B$8:$AE$59,28,0)</f>
        <v>36000</v>
      </c>
      <c r="I190" s="1211"/>
      <c r="J190" s="1211"/>
    </row>
    <row r="191" spans="1:10" s="357" customFormat="1" ht="18" customHeight="1">
      <c r="A191" s="631" t="s">
        <v>1757</v>
      </c>
      <c r="B191" s="632" t="s">
        <v>1786</v>
      </c>
      <c r="C191" s="633" t="str">
        <f>VLOOKUP(B191,Seed!$B$8:$AE$59,2,0)</f>
        <v>Md Zakaria Islam</v>
      </c>
      <c r="D191" s="634" t="str">
        <f>VLOOKUP(B191,Seed!$B$8:$AE$59,3,0)</f>
        <v>Territory Sales Officer</v>
      </c>
      <c r="E191" s="634" t="str">
        <f>VLOOKUP(B191,Seed!$B$8:$AE$59,4,0)</f>
        <v>Seed</v>
      </c>
      <c r="F191" s="635" t="str">
        <f>VLOOKUP(B191,Seed!$B$8:$AE$59,30,0)</f>
        <v>241.105.0089688</v>
      </c>
      <c r="G191" s="636">
        <f>VLOOKUP(B191,Seed!$B$8:$AE$59,28,0)</f>
        <v>22000</v>
      </c>
      <c r="I191" s="1211"/>
      <c r="J191" s="1211"/>
    </row>
    <row r="192" spans="1:10" s="357" customFormat="1" ht="18" customHeight="1">
      <c r="A192" s="631" t="s">
        <v>1758</v>
      </c>
      <c r="B192" s="632" t="s">
        <v>1788</v>
      </c>
      <c r="C192" s="633" t="str">
        <f>VLOOKUP(B192,Seed!$B$8:$AE$59,2,0)</f>
        <v>Md Abu Sufiyan</v>
      </c>
      <c r="D192" s="634" t="str">
        <f>VLOOKUP(B192,Seed!$B$8:$AE$59,3,0)</f>
        <v>Territory Sales Officer</v>
      </c>
      <c r="E192" s="634" t="str">
        <f>VLOOKUP(B192,Seed!$B$8:$AE$59,4,0)</f>
        <v>Seed</v>
      </c>
      <c r="F192" s="635" t="str">
        <f>VLOOKUP(B192,Seed!$B$8:$AE$59,30,0)</f>
        <v>178.158.0062449</v>
      </c>
      <c r="G192" s="636">
        <f>VLOOKUP(B192,Seed!$B$8:$AE$59,28,0)</f>
        <v>23000</v>
      </c>
      <c r="I192" s="1211"/>
      <c r="J192" s="1211"/>
    </row>
    <row r="193" spans="1:10" s="357" customFormat="1" ht="18" customHeight="1">
      <c r="A193" s="631" t="s">
        <v>1759</v>
      </c>
      <c r="B193" s="1011" t="s">
        <v>854</v>
      </c>
      <c r="C193" s="1012" t="str">
        <f>VLOOKUP(B193,Seed!$B$8:$AE$59,2,0)</f>
        <v>Md Saiful Islam Rony</v>
      </c>
      <c r="D193" s="1013" t="str">
        <f>VLOOKUP(B193,Seed!$B$8:$AE$59,3,0)</f>
        <v>Territory Manager</v>
      </c>
      <c r="E193" s="1013" t="str">
        <f>VLOOKUP(B193,Seed!$B$8:$AE$59,4,0)</f>
        <v>Seed</v>
      </c>
      <c r="F193" s="1014" t="str">
        <f>VLOOKUP(B193,Seed!$B$8:$AE$59,30,0)</f>
        <v>234.151.0016212</v>
      </c>
      <c r="G193" s="1015">
        <f>VLOOKUP(B193,Seed!$B$8:$AE$59,28,0)</f>
        <v>29840</v>
      </c>
      <c r="I193" s="1212"/>
      <c r="J193" s="1212"/>
    </row>
    <row r="194" spans="1:10" s="357" customFormat="1" ht="18" customHeight="1">
      <c r="A194" s="631" t="s">
        <v>1760</v>
      </c>
      <c r="B194" s="1016" t="s">
        <v>893</v>
      </c>
      <c r="C194" s="1007" t="str">
        <f>VLOOKUP(B194,'Spare Parts'!$B$7:$AE$64,2,0)</f>
        <v>CAHM Enayetullah</v>
      </c>
      <c r="D194" s="1008" t="str">
        <f>VLOOKUP(B194,'Spare Parts'!$B$7:$AE$64,3,0)</f>
        <v>Consultant</v>
      </c>
      <c r="E194" s="1008" t="str">
        <f>VLOOKUP(B194,'Spare Parts'!$B$7:$AE$64,4,0)</f>
        <v>F&amp;A</v>
      </c>
      <c r="F194" s="1008" t="str">
        <f>VLOOKUP(B194,'Spare Parts'!$B$7:$AE$64,30,0)</f>
        <v>101.103.0040142</v>
      </c>
      <c r="G194" s="1010">
        <f>VLOOKUP(B194,'Spare Parts'!$B$7:$AE$64,28,0)</f>
        <v>87000</v>
      </c>
      <c r="I194" s="1207" t="s">
        <v>1427</v>
      </c>
      <c r="J194" s="1204">
        <f>SUM(G194:G217)</f>
        <v>812029</v>
      </c>
    </row>
    <row r="195" spans="1:10" s="357" customFormat="1" ht="18" customHeight="1">
      <c r="A195" s="631" t="s">
        <v>1761</v>
      </c>
      <c r="B195" s="638" t="s">
        <v>627</v>
      </c>
      <c r="C195" s="633" t="str">
        <f>VLOOKUP(B195,'Spare Parts'!$B$7:$AE$64,2,0)</f>
        <v>Md. Yeasin Hossain Khan</v>
      </c>
      <c r="D195" s="634" t="str">
        <f>VLOOKUP(B195,'Spare Parts'!$B$7:$AE$64,3,0)</f>
        <v>Accounts Officer (S&amp;P)</v>
      </c>
      <c r="E195" s="634" t="str">
        <f>VLOOKUP(B195,'Spare Parts'!$B$7:$AE$64,4,0)</f>
        <v>A&amp;F</v>
      </c>
      <c r="F195" s="634" t="str">
        <f>VLOOKUP(B195,'Spare Parts'!$B$7:$AE$64,30,0)</f>
        <v>103.103.1353468</v>
      </c>
      <c r="G195" s="636">
        <f>VLOOKUP(B195,'Spare Parts'!$B$7:$AE$64,28,0)</f>
        <v>29100</v>
      </c>
      <c r="I195" s="1208"/>
      <c r="J195" s="1205"/>
    </row>
    <row r="196" spans="1:10" s="357" customFormat="1" ht="18" customHeight="1">
      <c r="A196" s="631" t="s">
        <v>1762</v>
      </c>
      <c r="B196" s="638" t="s">
        <v>1078</v>
      </c>
      <c r="C196" s="633" t="str">
        <f>VLOOKUP(B196,'Spare Parts'!$B$7:$AE$64,2,0)</f>
        <v>Md Radoan Ahamed</v>
      </c>
      <c r="D196" s="634" t="str">
        <f>VLOOKUP(B196,'Spare Parts'!$B$7:$AE$64,3,0)</f>
        <v>Deputy Manager</v>
      </c>
      <c r="E196" s="634" t="str">
        <f>VLOOKUP(B196,'Spare Parts'!$B$7:$AE$64,4,0)</f>
        <v>Spare &amp; Parts</v>
      </c>
      <c r="F196" s="634" t="str">
        <f>VLOOKUP(B196,'Spare Parts'!$B$7:$AE$64,30,0)</f>
        <v>103.103.1380275</v>
      </c>
      <c r="G196" s="636">
        <f>VLOOKUP(B196,'Spare Parts'!$B$7:$AE$64,28,0)</f>
        <v>62633</v>
      </c>
      <c r="I196" s="1208"/>
      <c r="J196" s="1205"/>
    </row>
    <row r="197" spans="1:10" s="357" customFormat="1" ht="18" customHeight="1">
      <c r="A197" s="631" t="s">
        <v>1763</v>
      </c>
      <c r="B197" s="638" t="s">
        <v>338</v>
      </c>
      <c r="C197" s="633" t="str">
        <f>VLOOKUP(B197,'Spare Parts'!$B$7:$AE$64,2,0)</f>
        <v>Mohammed Shariful Alam</v>
      </c>
      <c r="D197" s="634" t="str">
        <f>VLOOKUP(B197,'Spare Parts'!$B$7:$AE$64,3,0)</f>
        <v>Manager</v>
      </c>
      <c r="E197" s="634" t="str">
        <f>VLOOKUP(B197,'Spare Parts'!$B$7:$AE$64,4,0)</f>
        <v>Store &amp; Logistics</v>
      </c>
      <c r="F197" s="634" t="str">
        <f>VLOOKUP(B197,'Spare Parts'!$B$7:$AE$64,30,0)</f>
        <v>103.103.1252528</v>
      </c>
      <c r="G197" s="636">
        <f>VLOOKUP(B197,'Spare Parts'!$B$7:$AE$64,28,0)</f>
        <v>51883</v>
      </c>
      <c r="I197" s="1208"/>
      <c r="J197" s="1205"/>
    </row>
    <row r="198" spans="1:10" s="357" customFormat="1" ht="18" customHeight="1">
      <c r="A198" s="631" t="s">
        <v>1764</v>
      </c>
      <c r="B198" s="638" t="s">
        <v>343</v>
      </c>
      <c r="C198" s="633" t="str">
        <f>VLOOKUP(B198,'Spare Parts'!$B$7:$AE$64,2,0)</f>
        <v>Samiul Hassan</v>
      </c>
      <c r="D198" s="634" t="str">
        <f>VLOOKUP(B198,'Spare Parts'!$B$7:$AE$64,3,0)</f>
        <v>Asst. Manager</v>
      </c>
      <c r="E198" s="634" t="str">
        <f>VLOOKUP(B198,'Spare Parts'!$B$7:$AE$64,4,0)</f>
        <v>Store &amp; Logistics</v>
      </c>
      <c r="F198" s="634" t="str">
        <f>VLOOKUP(B198,'Spare Parts'!$B$7:$AE$64,30,0)</f>
        <v>156.105.0160835</v>
      </c>
      <c r="G198" s="636">
        <f>VLOOKUP(B198,'Spare Parts'!$B$7:$AE$64,28,0)</f>
        <v>32600</v>
      </c>
      <c r="I198" s="1208"/>
      <c r="J198" s="1205"/>
    </row>
    <row r="199" spans="1:10" s="357" customFormat="1" ht="18" customHeight="1">
      <c r="A199" s="631" t="s">
        <v>1765</v>
      </c>
      <c r="B199" s="638" t="s">
        <v>113</v>
      </c>
      <c r="C199" s="633" t="str">
        <f>VLOOKUP(B199,'Spare Parts'!$B$7:$AE$64,2,0)</f>
        <v>Md. Kaiser Ferdous</v>
      </c>
      <c r="D199" s="634" t="str">
        <f>VLOOKUP(B199,'Spare Parts'!$B$7:$AE$64,3,0)</f>
        <v>Sr. Service Coordinator</v>
      </c>
      <c r="E199" s="634" t="str">
        <f>VLOOKUP(B199,'Spare Parts'!$B$7:$AE$64,4,0)</f>
        <v>Technical</v>
      </c>
      <c r="F199" s="634" t="str">
        <f>VLOOKUP(B199,'Spare Parts'!$B$7:$AE$64,30,0)</f>
        <v>268.151.0036556</v>
      </c>
      <c r="G199" s="636">
        <f>VLOOKUP(B199,'Spare Parts'!$B$7:$AE$64,28,0)</f>
        <v>33120</v>
      </c>
      <c r="I199" s="1208"/>
      <c r="J199" s="1205"/>
    </row>
    <row r="200" spans="1:10" s="357" customFormat="1" ht="18" customHeight="1">
      <c r="A200" s="631" t="s">
        <v>1766</v>
      </c>
      <c r="B200" s="638" t="s">
        <v>118</v>
      </c>
      <c r="C200" s="633" t="str">
        <f>VLOOKUP(B200,'Spare Parts'!$B$7:$AE$64,2,0)</f>
        <v>Sohidullah</v>
      </c>
      <c r="D200" s="634" t="str">
        <f>VLOOKUP(B200,'Spare Parts'!$B$7:$AE$64,3,0)</f>
        <v>Sr. Manager</v>
      </c>
      <c r="E200" s="634" t="str">
        <f>VLOOKUP(B200,'Spare Parts'!$B$7:$AE$64,4,0)</f>
        <v>Technical</v>
      </c>
      <c r="F200" s="634" t="str">
        <f>VLOOKUP(B200,'Spare Parts'!$B$7:$AE$64,30,0)</f>
        <v>141.103.0406713</v>
      </c>
      <c r="G200" s="636">
        <f>VLOOKUP(B200,'Spare Parts'!$B$7:$AE$64,28,0)</f>
        <v>97758</v>
      </c>
      <c r="I200" s="1208"/>
      <c r="J200" s="1205"/>
    </row>
    <row r="201" spans="1:10" s="357" customFormat="1" ht="18" customHeight="1">
      <c r="A201" s="631" t="s">
        <v>1767</v>
      </c>
      <c r="B201" s="638" t="s">
        <v>148</v>
      </c>
      <c r="C201" s="633" t="str">
        <f>VLOOKUP(B201,'Spare Parts'!$B$7:$AE$64,2,0)</f>
        <v>Mohammad Ali Mollah</v>
      </c>
      <c r="D201" s="634" t="str">
        <f>VLOOKUP(B201,'Spare Parts'!$B$7:$AE$64,3,0)</f>
        <v>Sr. Service Engineer</v>
      </c>
      <c r="E201" s="634" t="str">
        <f>VLOOKUP(B201,'Spare Parts'!$B$7:$AE$64,4,0)</f>
        <v>Technical</v>
      </c>
      <c r="F201" s="634" t="str">
        <f>VLOOKUP(B201,'Spare Parts'!$B$7:$AE$64,30,0)</f>
        <v>188.151.0114541</v>
      </c>
      <c r="G201" s="636">
        <f>VLOOKUP(B201,'Spare Parts'!$B$7:$AE$64,28,0)</f>
        <v>32711</v>
      </c>
      <c r="I201" s="1208"/>
      <c r="J201" s="1205"/>
    </row>
    <row r="202" spans="1:10" s="357" customFormat="1" ht="18" customHeight="1">
      <c r="A202" s="631" t="s">
        <v>1768</v>
      </c>
      <c r="B202" s="638" t="s">
        <v>163</v>
      </c>
      <c r="C202" s="633" t="str">
        <f>VLOOKUP(B202,'Spare Parts'!$B$7:$AE$64,2,0)</f>
        <v>Md. Shopon Islam</v>
      </c>
      <c r="D202" s="634" t="str">
        <f>VLOOKUP(B202,'Spare Parts'!$B$7:$AE$64,3,0)</f>
        <v>Service Engineer</v>
      </c>
      <c r="E202" s="634" t="str">
        <f>VLOOKUP(B202,'Spare Parts'!$B$7:$AE$64,4,0)</f>
        <v>Technical</v>
      </c>
      <c r="F202" s="634" t="str">
        <f>VLOOKUP(B202,'Spare Parts'!$B$7:$AE$64,30,0)</f>
        <v>227.103.0178379</v>
      </c>
      <c r="G202" s="636">
        <f>VLOOKUP(B202,'Spare Parts'!$B$7:$AE$64,28,0)</f>
        <v>26626</v>
      </c>
      <c r="I202" s="1208"/>
      <c r="J202" s="1205"/>
    </row>
    <row r="203" spans="1:10" s="357" customFormat="1" ht="18" customHeight="1">
      <c r="A203" s="631" t="s">
        <v>1769</v>
      </c>
      <c r="B203" s="638" t="s">
        <v>166</v>
      </c>
      <c r="C203" s="633" t="str">
        <f>VLOOKUP(B203,'Spare Parts'!$B$7:$AE$64,2,0)</f>
        <v>Md. Nur Amin Arafat</v>
      </c>
      <c r="D203" s="634" t="str">
        <f>VLOOKUP(B203,'Spare Parts'!$B$7:$AE$64,3,0)</f>
        <v>Service Engineer</v>
      </c>
      <c r="E203" s="634" t="str">
        <f>VLOOKUP(B203,'Spare Parts'!$B$7:$AE$64,4,0)</f>
        <v>Technical</v>
      </c>
      <c r="F203" s="634" t="str">
        <f>VLOOKUP(B203,'Spare Parts'!$B$7:$AE$64,30,0)</f>
        <v>172.158.0042493</v>
      </c>
      <c r="G203" s="636">
        <f>VLOOKUP(B203,'Spare Parts'!$B$7:$AE$64,28,0)</f>
        <v>25171</v>
      </c>
      <c r="I203" s="1208"/>
      <c r="J203" s="1205"/>
    </row>
    <row r="204" spans="1:10" s="357" customFormat="1" ht="18" customHeight="1">
      <c r="A204" s="631" t="s">
        <v>1770</v>
      </c>
      <c r="B204" s="638" t="s">
        <v>169</v>
      </c>
      <c r="C204" s="633" t="str">
        <f>VLOOKUP(B204,'Spare Parts'!$B$7:$AE$64,2,0)</f>
        <v>Md. Ziaur Rahman Vulu</v>
      </c>
      <c r="D204" s="634" t="str">
        <f>VLOOKUP(B204,'Spare Parts'!$B$7:$AE$64,3,0)</f>
        <v>Assistant Manager</v>
      </c>
      <c r="E204" s="634" t="str">
        <f>VLOOKUP(B204,'Spare Parts'!$B$7:$AE$64,4,0)</f>
        <v>Technical</v>
      </c>
      <c r="F204" s="634" t="str">
        <f>VLOOKUP(B204,'Spare Parts'!$B$7:$AE$64,30,0)</f>
        <v>163.103.0046815</v>
      </c>
      <c r="G204" s="636">
        <f>VLOOKUP(B204,'Spare Parts'!$B$7:$AE$64,28,0)</f>
        <v>40161</v>
      </c>
      <c r="I204" s="1208"/>
      <c r="J204" s="1205"/>
    </row>
    <row r="205" spans="1:10" s="357" customFormat="1" ht="18" customHeight="1">
      <c r="A205" s="631" t="s">
        <v>1771</v>
      </c>
      <c r="B205" s="638" t="s">
        <v>560</v>
      </c>
      <c r="C205" s="633" t="str">
        <f>VLOOKUP(B205,'Spare Parts'!$B$7:$AE$64,2,0)</f>
        <v>Md. Shoiyeb Hasan Sajal</v>
      </c>
      <c r="D205" s="634" t="str">
        <f>VLOOKUP(B205,'Spare Parts'!$B$7:$AE$64,3,0)</f>
        <v>Territorry Service Manager</v>
      </c>
      <c r="E205" s="634" t="str">
        <f>VLOOKUP(B205,'Spare Parts'!$B$7:$AE$64,4,0)</f>
        <v>Technical</v>
      </c>
      <c r="F205" s="634" t="str">
        <f>VLOOKUP(B205,'Spare Parts'!$B$7:$AE$64,30,0)</f>
        <v>162.103.0232278</v>
      </c>
      <c r="G205" s="636">
        <f>VLOOKUP(B205,'Spare Parts'!$B$7:$AE$64,28,0)</f>
        <v>45173</v>
      </c>
      <c r="I205" s="1208"/>
      <c r="J205" s="1205"/>
    </row>
    <row r="206" spans="1:10" s="357" customFormat="1" ht="18" customHeight="1">
      <c r="A206" s="631" t="s">
        <v>1772</v>
      </c>
      <c r="B206" s="638" t="s">
        <v>662</v>
      </c>
      <c r="C206" s="633" t="str">
        <f>VLOOKUP(B206,'Spare Parts'!$B$7:$AE$64,2,0)</f>
        <v>Md. Asaduzzaman</v>
      </c>
      <c r="D206" s="634" t="str">
        <f>VLOOKUP(B206,'Spare Parts'!$B$7:$AE$64,3,0)</f>
        <v>Trainee Engineer</v>
      </c>
      <c r="E206" s="634" t="str">
        <f>VLOOKUP(B206,'Spare Parts'!$B$7:$AE$64,4,0)</f>
        <v>Technical</v>
      </c>
      <c r="F206" s="634" t="str">
        <f>VLOOKUP(B206,'Spare Parts'!$B$7:$AE$64,30,0)</f>
        <v>172.103.0055416</v>
      </c>
      <c r="G206" s="636">
        <f>VLOOKUP(B206,'Spare Parts'!$B$7:$AE$64,28,0)</f>
        <v>18195</v>
      </c>
      <c r="I206" s="1208"/>
      <c r="J206" s="1205"/>
    </row>
    <row r="207" spans="1:10" s="357" customFormat="1" ht="18" customHeight="1">
      <c r="A207" s="631" t="s">
        <v>1773</v>
      </c>
      <c r="B207" s="638" t="s">
        <v>1235</v>
      </c>
      <c r="C207" s="633" t="str">
        <f>VLOOKUP(B207,'Spare Parts'!$B$7:$AE$64,2,0)</f>
        <v>Md Raju Ahammed</v>
      </c>
      <c r="D207" s="634" t="str">
        <f>VLOOKUP(B207,'Spare Parts'!$B$7:$AE$64,3,0)</f>
        <v>Sr. Service Engineer</v>
      </c>
      <c r="E207" s="634" t="str">
        <f>VLOOKUP(B207,'Spare Parts'!$B$7:$AE$64,4,0)</f>
        <v>Technical</v>
      </c>
      <c r="F207" s="634" t="str">
        <f>VLOOKUP(B207,'Spare Parts'!$B$7:$AE$64,30,0)</f>
        <v>151.151.0184084</v>
      </c>
      <c r="G207" s="636">
        <f>VLOOKUP(B207,'Spare Parts'!$B$7:$AE$64,28,0)</f>
        <v>28000</v>
      </c>
      <c r="I207" s="1208"/>
      <c r="J207" s="1205"/>
    </row>
    <row r="208" spans="1:10" s="357" customFormat="1" ht="18" customHeight="1">
      <c r="A208" s="631" t="s">
        <v>1774</v>
      </c>
      <c r="B208" s="638" t="s">
        <v>120</v>
      </c>
      <c r="C208" s="633" t="str">
        <f>VLOOKUP(B208,'Spare Parts'!$B$7:$AE$64,2,0)</f>
        <v>Md. Bellal Hossain</v>
      </c>
      <c r="D208" s="634" t="str">
        <f>VLOOKUP(B208,'Spare Parts'!$B$7:$AE$64,3,0)</f>
        <v>Mechanic</v>
      </c>
      <c r="E208" s="634" t="str">
        <f>VLOOKUP(B208,'Spare Parts'!$B$7:$AE$64,4,0)</f>
        <v>Technical</v>
      </c>
      <c r="F208" s="634" t="str">
        <f>VLOOKUP(B208,'Spare Parts'!$B$7:$AE$64,30,0)</f>
        <v>127.158.0056084</v>
      </c>
      <c r="G208" s="636">
        <f>VLOOKUP(B208,'Spare Parts'!$B$7:$AE$64,28,0)</f>
        <v>16538</v>
      </c>
      <c r="I208" s="1208"/>
      <c r="J208" s="1205"/>
    </row>
    <row r="209" spans="1:10" s="357" customFormat="1" ht="18" customHeight="1">
      <c r="A209" s="631" t="s">
        <v>1775</v>
      </c>
      <c r="B209" s="638" t="s">
        <v>562</v>
      </c>
      <c r="C209" s="633" t="str">
        <f>VLOOKUP(B209,'Spare Parts'!$B$7:$AE$64,2,0)</f>
        <v>Al Farabie Mubashir</v>
      </c>
      <c r="D209" s="634" t="str">
        <f>VLOOKUP(B209,'Spare Parts'!$B$7:$AE$64,3,0)</f>
        <v>Trainee Engineer</v>
      </c>
      <c r="E209" s="634" t="str">
        <f>VLOOKUP(B209,'Spare Parts'!$B$7:$AE$64,4,0)</f>
        <v>Technical</v>
      </c>
      <c r="F209" s="634" t="str">
        <f>VLOOKUP(B209,'Spare Parts'!$B$7:$AE$64,30,0)</f>
        <v>156.105.0305030</v>
      </c>
      <c r="G209" s="636">
        <f>VLOOKUP(B209,'Spare Parts'!$B$7:$AE$64,28,0)</f>
        <v>18695</v>
      </c>
      <c r="I209" s="1208"/>
      <c r="J209" s="1205"/>
    </row>
    <row r="210" spans="1:10" s="357" customFormat="1" ht="18" customHeight="1">
      <c r="A210" s="631" t="s">
        <v>1776</v>
      </c>
      <c r="B210" s="638" t="s">
        <v>606</v>
      </c>
      <c r="C210" s="633" t="str">
        <f>VLOOKUP(B210,'Spare Parts'!$B$7:$AE$64,2,0)</f>
        <v>Md. Nur Sayed</v>
      </c>
      <c r="D210" s="634" t="str">
        <f>VLOOKUP(B210,'Spare Parts'!$B$7:$AE$64,3,0)</f>
        <v>Mechanic</v>
      </c>
      <c r="E210" s="634" t="str">
        <f>VLOOKUP(B210,'Spare Parts'!$B$7:$AE$64,4,0)</f>
        <v>Technical</v>
      </c>
      <c r="F210" s="634" t="str">
        <f>VLOOKUP(B210,'Spare Parts'!$B$7:$AE$64,30,0)</f>
        <v>262.158.0049028</v>
      </c>
      <c r="G210" s="636">
        <f>VLOOKUP(B210,'Spare Parts'!$B$7:$AE$64,28,0)</f>
        <v>20407</v>
      </c>
      <c r="I210" s="1208"/>
      <c r="J210" s="1205"/>
    </row>
    <row r="211" spans="1:10" s="357" customFormat="1" ht="18" customHeight="1">
      <c r="A211" s="631" t="s">
        <v>1777</v>
      </c>
      <c r="B211" s="638" t="s">
        <v>613</v>
      </c>
      <c r="C211" s="633" t="str">
        <f>VLOOKUP(B211,'Spare Parts'!$B$7:$AE$64,2,0)</f>
        <v>Md. Abdur Rahim</v>
      </c>
      <c r="D211" s="634" t="str">
        <f>VLOOKUP(B211,'Spare Parts'!$B$7:$AE$64,3,0)</f>
        <v>Mechanic</v>
      </c>
      <c r="E211" s="634" t="str">
        <f>VLOOKUP(B211,'Spare Parts'!$B$7:$AE$64,4,0)</f>
        <v>Technical</v>
      </c>
      <c r="F211" s="634" t="str">
        <f>VLOOKUP(B211,'Spare Parts'!$B$7:$AE$64,30,0)</f>
        <v>204.103.0061753</v>
      </c>
      <c r="G211" s="636">
        <f>VLOOKUP(B211,'Spare Parts'!$B$7:$AE$64,28,0)</f>
        <v>11804</v>
      </c>
      <c r="I211" s="1208"/>
      <c r="J211" s="1205"/>
    </row>
    <row r="212" spans="1:10" s="357" customFormat="1" ht="18" customHeight="1">
      <c r="A212" s="631" t="s">
        <v>1778</v>
      </c>
      <c r="B212" s="638" t="s">
        <v>650</v>
      </c>
      <c r="C212" s="633" t="str">
        <f>VLOOKUP(B212,'Spare Parts'!$B$7:$AE$64,2,0)</f>
        <v>Md. Kayum Hossain</v>
      </c>
      <c r="D212" s="634" t="str">
        <f>VLOOKUP(B212,'Spare Parts'!$B$7:$AE$64,3,0)</f>
        <v>Sr. Mechanic</v>
      </c>
      <c r="E212" s="634" t="str">
        <f>VLOOKUP(B212,'Spare Parts'!$B$7:$AE$64,4,0)</f>
        <v>Technical</v>
      </c>
      <c r="F212" s="634" t="str">
        <f>VLOOKUP(B212,'Spare Parts'!$B$7:$AE$64,30,0)</f>
        <v>127.157.0036217</v>
      </c>
      <c r="G212" s="636">
        <f>VLOOKUP(B212,'Spare Parts'!$B$7:$AE$64,28,0)</f>
        <v>21765</v>
      </c>
      <c r="I212" s="1208"/>
      <c r="J212" s="1205"/>
    </row>
    <row r="213" spans="1:10" s="357" customFormat="1" ht="18" customHeight="1">
      <c r="A213" s="631" t="s">
        <v>1779</v>
      </c>
      <c r="B213" s="638" t="s">
        <v>652</v>
      </c>
      <c r="C213" s="633" t="str">
        <f>VLOOKUP(B213,'Spare Parts'!$B$7:$AE$64,2,0)</f>
        <v>Md. Ali Hossain</v>
      </c>
      <c r="D213" s="634" t="str">
        <f>VLOOKUP(B213,'Spare Parts'!$B$7:$AE$64,3,0)</f>
        <v>Jr. Mechanic</v>
      </c>
      <c r="E213" s="634" t="str">
        <f>VLOOKUP(B213,'Spare Parts'!$B$7:$AE$64,4,0)</f>
        <v>Technical</v>
      </c>
      <c r="F213" s="634" t="str">
        <f>VLOOKUP(B213,'Spare Parts'!$B$7:$AE$64,30,0)</f>
        <v>226.158.0010621</v>
      </c>
      <c r="G213" s="636">
        <f>VLOOKUP(B213,'Spare Parts'!$B$7:$AE$64,28,0)</f>
        <v>15714</v>
      </c>
      <c r="I213" s="1208"/>
      <c r="J213" s="1205"/>
    </row>
    <row r="214" spans="1:10" s="357" customFormat="1" ht="18" customHeight="1">
      <c r="A214" s="631" t="s">
        <v>1780</v>
      </c>
      <c r="B214" s="638" t="s">
        <v>860</v>
      </c>
      <c r="C214" s="633" t="str">
        <f>VLOOKUP(B214,'Spare Parts'!$B$7:$AE$64,2,0)</f>
        <v>Md Rashidul Islam</v>
      </c>
      <c r="D214" s="634" t="str">
        <f>VLOOKUP(B214,'Spare Parts'!$B$7:$AE$64,3,0)</f>
        <v>Mechanic</v>
      </c>
      <c r="E214" s="634" t="str">
        <f>VLOOKUP(B214,'Spare Parts'!$B$7:$AE$64,4,0)</f>
        <v>Technical</v>
      </c>
      <c r="F214" s="634" t="str">
        <f>VLOOKUP(B214,'Spare Parts'!$B$7:$AE$64,30,0)</f>
        <v>156.105.0299137</v>
      </c>
      <c r="G214" s="636">
        <f>VLOOKUP(B214,'Spare Parts'!$B$7:$AE$64,28,0)</f>
        <v>14975</v>
      </c>
      <c r="I214" s="1208"/>
      <c r="J214" s="1205"/>
    </row>
    <row r="215" spans="1:10" s="357" customFormat="1" ht="18" customHeight="1">
      <c r="A215" s="631" t="s">
        <v>1781</v>
      </c>
      <c r="B215" s="638" t="s">
        <v>1321</v>
      </c>
      <c r="C215" s="633" t="str">
        <f>VLOOKUP(B215,'Spare Parts'!$B$7:$AE$64,2,0)</f>
        <v>Shahinur Zaman</v>
      </c>
      <c r="D215" s="634" t="str">
        <f>VLOOKUP(B215,'Spare Parts'!$B$7:$AE$64,3,0)</f>
        <v>Junior Mechanic</v>
      </c>
      <c r="E215" s="634" t="str">
        <f>VLOOKUP(B215,'Spare Parts'!$B$7:$AE$64,4,0)</f>
        <v>Technical</v>
      </c>
      <c r="F215" s="634" t="str">
        <f>VLOOKUP(B215,'Spare Parts'!$B$7:$AE$64,30,0)</f>
        <v>116.103.0906673</v>
      </c>
      <c r="G215" s="636">
        <f>VLOOKUP(B215,'Spare Parts'!$B$7:$AE$64,28,0)</f>
        <v>14000</v>
      </c>
      <c r="I215" s="1208"/>
      <c r="J215" s="1205"/>
    </row>
    <row r="216" spans="1:10" s="357" customFormat="1" ht="18" customHeight="1">
      <c r="A216" s="631" t="s">
        <v>1823</v>
      </c>
      <c r="B216" s="638" t="s">
        <v>1245</v>
      </c>
      <c r="C216" s="633" t="str">
        <f>VLOOKUP(B216,'Spare Parts'!$B$7:$AE$64,2,0)</f>
        <v>Md Imran</v>
      </c>
      <c r="D216" s="634" t="str">
        <f>VLOOKUP(B216,'Spare Parts'!$B$7:$AE$64,3,0)</f>
        <v>Service Engineer</v>
      </c>
      <c r="E216" s="634" t="str">
        <f>VLOOKUP(B216,'Spare Parts'!$B$7:$AE$64,4,0)</f>
        <v>Technical</v>
      </c>
      <c r="F216" s="634" t="str">
        <f>VLOOKUP(B216,'Spare Parts'!$B$7:$AE$64,30,0)</f>
        <v>127.105.0042964</v>
      </c>
      <c r="G216" s="636">
        <f>VLOOKUP(B216,'Spare Parts'!$B$7:$AE$64,28,0)</f>
        <v>35000</v>
      </c>
      <c r="I216" s="1208"/>
      <c r="J216" s="1205"/>
    </row>
    <row r="217" spans="1:10" s="357" customFormat="1" ht="18" customHeight="1" thickBot="1">
      <c r="A217" s="631" t="s">
        <v>1824</v>
      </c>
      <c r="B217" s="638" t="s">
        <v>1668</v>
      </c>
      <c r="C217" s="633" t="str">
        <f>VLOOKUP(B217,'Spare Parts'!$B$7:$AE$64,2,0)</f>
        <v>Md Asadul Islam Mridha</v>
      </c>
      <c r="D217" s="634" t="str">
        <f>VLOOKUP(B217,'Spare Parts'!$B$7:$AE$64,3,0)</f>
        <v>Sr. Service Engineer</v>
      </c>
      <c r="E217" s="634" t="str">
        <f>VLOOKUP(B217,'Spare Parts'!$B$7:$AE$64,4,0)</f>
        <v>Technical</v>
      </c>
      <c r="F217" s="634" t="str">
        <f>VLOOKUP(B217,'Spare Parts'!$B$7:$AE$64,30,0)</f>
        <v>281.103.0181227</v>
      </c>
      <c r="G217" s="636">
        <f>VLOOKUP(B217,'Spare Parts'!$B$7:$AE$64,28,0)</f>
        <v>33000</v>
      </c>
      <c r="I217" s="1209"/>
      <c r="J217" s="1205"/>
    </row>
    <row r="218" spans="1:10" s="357" customFormat="1" ht="21.75" customHeight="1" thickBot="1">
      <c r="A218" s="1202" t="s">
        <v>421</v>
      </c>
      <c r="B218" s="1202"/>
      <c r="C218" s="1202"/>
      <c r="D218" s="1202"/>
      <c r="E218" s="1202"/>
      <c r="F218" s="612" t="s">
        <v>876</v>
      </c>
      <c r="G218" s="610">
        <f>SUM(G7:G217)</f>
        <v>6432033</v>
      </c>
      <c r="I218" s="640"/>
      <c r="J218" s="1206"/>
    </row>
    <row r="219" spans="1:10" s="357" customFormat="1" ht="21.75" customHeight="1" thickBot="1">
      <c r="A219" s="351"/>
      <c r="B219" s="351"/>
      <c r="C219" s="351"/>
      <c r="D219" s="358"/>
      <c r="E219" s="358"/>
      <c r="F219" s="359"/>
      <c r="G219" s="608"/>
      <c r="I219" s="640"/>
      <c r="J219" s="642">
        <f>SUM(J7:J218)</f>
        <v>6432033</v>
      </c>
    </row>
  </sheetData>
  <sortState xmlns:xlrd2="http://schemas.microsoft.com/office/spreadsheetml/2017/richdata2" ref="B10:G78">
    <sortCondition ref="B10"/>
  </sortState>
  <mergeCells count="8">
    <mergeCell ref="A218:E218"/>
    <mergeCell ref="A4:G4"/>
    <mergeCell ref="J194:J218"/>
    <mergeCell ref="I194:I217"/>
    <mergeCell ref="J153:J193"/>
    <mergeCell ref="I153:I193"/>
    <mergeCell ref="J7:J152"/>
    <mergeCell ref="I7:I152"/>
  </mergeCells>
  <conditionalFormatting sqref="B5:B1048576 B1:B3">
    <cfRule type="duplicateValues" dxfId="18" priority="3"/>
  </conditionalFormatting>
  <conditionalFormatting sqref="B153:B193">
    <cfRule type="duplicateValues" dxfId="17" priority="2414"/>
  </conditionalFormatting>
  <conditionalFormatting sqref="B194:B217">
    <cfRule type="duplicateValues" dxfId="16" priority="2361"/>
  </conditionalFormatting>
  <conditionalFormatting sqref="B218:B1048576 B1:B3 B5:B152">
    <cfRule type="duplicateValues" dxfId="15" priority="13"/>
  </conditionalFormatting>
  <conditionalFormatting sqref="B218:B1048576 B1:B3 B5:B193">
    <cfRule type="duplicateValues" dxfId="14" priority="296"/>
  </conditionalFormatting>
  <conditionalFormatting sqref="B218:B1048576">
    <cfRule type="duplicateValues" dxfId="13" priority="11"/>
  </conditionalFormatting>
  <conditionalFormatting sqref="F1:F1048576">
    <cfRule type="duplicateValues" dxfId="12" priority="2"/>
  </conditionalFormatting>
  <printOptions horizontalCentered="1"/>
  <pageMargins left="0.51181102362204722" right="0.19685039370078741" top="1.1023622047244095" bottom="0.78740157480314965" header="0" footer="0"/>
  <pageSetup paperSize="9" scale="9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6">
    <tabColor rgb="FFCCFF66"/>
  </sheetPr>
  <dimension ref="A2:K35"/>
  <sheetViews>
    <sheetView view="pageBreakPreview" zoomScaleNormal="100" zoomScaleSheetLayoutView="100" workbookViewId="0">
      <selection activeCell="K20" sqref="K20:L23"/>
    </sheetView>
  </sheetViews>
  <sheetFormatPr defaultColWidth="9.140625" defaultRowHeight="15"/>
  <cols>
    <col min="1" max="1" width="9.140625" style="1098"/>
    <col min="2" max="4" width="9.140625" style="1099"/>
    <col min="5" max="5" width="14.28515625" style="1099" customWidth="1"/>
    <col min="6" max="6" width="9.140625" style="1099"/>
    <col min="7" max="7" width="7.28515625" style="1099" customWidth="1"/>
    <col min="8" max="8" width="9.42578125" style="1099" customWidth="1"/>
    <col min="9" max="9" width="12.140625" style="1099" customWidth="1"/>
    <col min="10" max="10" width="9.140625" style="1099"/>
    <col min="11" max="11" width="13.28515625" style="1104" bestFit="1" customWidth="1"/>
    <col min="12" max="16384" width="9.140625" style="1099"/>
  </cols>
  <sheetData>
    <row r="2" spans="1:11" ht="33.75" customHeight="1"/>
    <row r="4" spans="1:11" ht="15.75">
      <c r="A4" s="1100" t="s">
        <v>1900</v>
      </c>
      <c r="H4" s="1101" t="s">
        <v>391</v>
      </c>
      <c r="I4" s="1106">
        <f>'Forwading-360'!I4</f>
        <v>45662</v>
      </c>
    </row>
    <row r="5" spans="1:11" ht="15.75">
      <c r="A5" s="1100"/>
    </row>
    <row r="6" spans="1:11" ht="18" customHeight="1">
      <c r="A6" s="1100" t="s">
        <v>392</v>
      </c>
    </row>
    <row r="7" spans="1:11" ht="18" customHeight="1">
      <c r="A7" s="1100" t="s">
        <v>393</v>
      </c>
    </row>
    <row r="8" spans="1:11" ht="18" customHeight="1">
      <c r="A8" s="1100" t="s">
        <v>877</v>
      </c>
    </row>
    <row r="9" spans="1:11" ht="18" customHeight="1">
      <c r="A9" s="1100" t="s">
        <v>394</v>
      </c>
    </row>
    <row r="10" spans="1:11" ht="15.75">
      <c r="A10" s="1100"/>
    </row>
    <row r="11" spans="1:11" ht="15.75">
      <c r="A11" s="1100"/>
    </row>
    <row r="12" spans="1:11" ht="28.5" customHeight="1">
      <c r="A12" s="1102" t="s">
        <v>395</v>
      </c>
      <c r="B12" s="1198" t="s">
        <v>1835</v>
      </c>
      <c r="C12" s="1198"/>
      <c r="D12" s="1198"/>
      <c r="E12" s="1198"/>
      <c r="F12" s="1198"/>
      <c r="G12" s="1198"/>
      <c r="H12" s="1198"/>
      <c r="I12" s="1198"/>
    </row>
    <row r="13" spans="1:11" ht="7.5" customHeight="1">
      <c r="A13" s="1100"/>
    </row>
    <row r="14" spans="1:11" ht="9" customHeight="1">
      <c r="A14" s="1100"/>
    </row>
    <row r="15" spans="1:11" ht="15.75">
      <c r="A15" s="1103" t="s">
        <v>396</v>
      </c>
    </row>
    <row r="16" spans="1:11" ht="15.75">
      <c r="A16" s="1100"/>
      <c r="K16" s="1104">
        <f>'Bank Sum-6151'!G69</f>
        <v>1820823</v>
      </c>
    </row>
    <row r="17" spans="1:11" ht="114.75" customHeight="1">
      <c r="A17" s="1199" t="s">
        <v>1902</v>
      </c>
      <c r="B17" s="1199"/>
      <c r="C17" s="1199"/>
      <c r="D17" s="1199"/>
      <c r="E17" s="1199"/>
      <c r="F17" s="1199"/>
      <c r="G17" s="1199"/>
      <c r="H17" s="1199"/>
      <c r="I17" s="1199"/>
    </row>
    <row r="18" spans="1:11" ht="23.25">
      <c r="A18" s="1105"/>
      <c r="K18" s="1099" t="e">
        <f ca="1">[3]!SpellNumber(K16)</f>
        <v>#NAME?</v>
      </c>
    </row>
    <row r="19" spans="1:11" ht="15.75">
      <c r="A19" s="1100" t="s">
        <v>397</v>
      </c>
    </row>
    <row r="20" spans="1:11" ht="23.25">
      <c r="A20" s="1105"/>
    </row>
    <row r="21" spans="1:11" ht="15.75">
      <c r="A21" s="1100" t="s">
        <v>398</v>
      </c>
    </row>
    <row r="22" spans="1:11" ht="23.25">
      <c r="A22" s="1105"/>
      <c r="K22" s="1099"/>
    </row>
    <row r="23" spans="1:11" ht="15.75">
      <c r="A23" s="1100" t="s">
        <v>399</v>
      </c>
    </row>
    <row r="31" spans="1:11" ht="56.25" customHeight="1"/>
    <row r="35" spans="1:1" ht="15.75">
      <c r="A35" s="1100" t="s">
        <v>400</v>
      </c>
    </row>
  </sheetData>
  <mergeCells count="2">
    <mergeCell ref="B12:I12"/>
    <mergeCell ref="A17:I17"/>
  </mergeCells>
  <pageMargins left="0.78740157480314965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7">
    <tabColor rgb="FFCCFF66"/>
  </sheetPr>
  <dimension ref="A4:G69"/>
  <sheetViews>
    <sheetView view="pageBreakPreview" topLeftCell="A58" zoomScale="90" zoomScaleNormal="100" zoomScaleSheetLayoutView="90" workbookViewId="0">
      <selection activeCell="V7" sqref="V7"/>
    </sheetView>
  </sheetViews>
  <sheetFormatPr defaultColWidth="9.140625" defaultRowHeight="14.25"/>
  <cols>
    <col min="1" max="1" width="5" style="351" customWidth="1"/>
    <col min="2" max="2" width="12.5703125" style="351" customWidth="1"/>
    <col min="3" max="3" width="22.85546875" style="351" customWidth="1"/>
    <col min="4" max="4" width="19.7109375" style="358" customWidth="1"/>
    <col min="5" max="5" width="15.7109375" style="358" customWidth="1"/>
    <col min="6" max="6" width="16.5703125" style="359" customWidth="1"/>
    <col min="7" max="7" width="13.140625" style="608" customWidth="1"/>
    <col min="8" max="11" width="9.140625" style="351"/>
    <col min="12" max="12" width="15" style="351" customWidth="1"/>
    <col min="13" max="13" width="11.5703125" style="351" bestFit="1" customWidth="1"/>
    <col min="14" max="16384" width="9.140625" style="351"/>
  </cols>
  <sheetData>
    <row r="4" spans="1:7" ht="18">
      <c r="A4" s="1203" t="s">
        <v>1833</v>
      </c>
      <c r="B4" s="1203"/>
      <c r="C4" s="1203"/>
      <c r="D4" s="1203"/>
      <c r="E4" s="1203"/>
      <c r="F4" s="1203"/>
      <c r="G4" s="1203"/>
    </row>
    <row r="5" spans="1:7" ht="18.75" customHeight="1">
      <c r="A5" s="352"/>
      <c r="B5" s="352"/>
      <c r="C5" s="352"/>
      <c r="D5" s="353"/>
      <c r="E5" s="353"/>
      <c r="F5" s="354"/>
      <c r="G5" s="609"/>
    </row>
    <row r="6" spans="1:7" ht="28.5" customHeight="1">
      <c r="A6" s="355" t="s">
        <v>3</v>
      </c>
      <c r="B6" s="355" t="s">
        <v>401</v>
      </c>
      <c r="C6" s="628" t="s">
        <v>402</v>
      </c>
      <c r="D6" s="355" t="s">
        <v>403</v>
      </c>
      <c r="E6" s="355" t="s">
        <v>404</v>
      </c>
      <c r="F6" s="355" t="s">
        <v>405</v>
      </c>
      <c r="G6" s="356" t="s">
        <v>41</v>
      </c>
    </row>
    <row r="7" spans="1:7" s="357" customFormat="1" ht="21" customHeight="1">
      <c r="A7" s="631" t="s">
        <v>406</v>
      </c>
      <c r="B7" s="632" t="s">
        <v>1217</v>
      </c>
      <c r="C7" s="633" t="str">
        <f>VLOOKUP(B7,Pesticide!$B$7:$AE$104,2,0)</f>
        <v>Md Aslam Uddin</v>
      </c>
      <c r="D7" s="634" t="str">
        <f>VLOOKUP(B7,Pesticide!$B$7:$AE$90,3,0)</f>
        <v>Executive</v>
      </c>
      <c r="E7" s="634" t="str">
        <f>VLOOKUP(B7,Pesticide!$B$7:$AE$90,4,0)</f>
        <v>F&amp;A</v>
      </c>
      <c r="F7" s="635" t="str">
        <f>VLOOKUP(B7,Pesticide!$B$7:$AE$90,30,0)</f>
        <v>103.103.1395969</v>
      </c>
      <c r="G7" s="636">
        <f>VLOOKUP(B7,Pesticide!$B$7:$AE$90,28,0)</f>
        <v>39583</v>
      </c>
    </row>
    <row r="8" spans="1:7" s="357" customFormat="1" ht="21" customHeight="1">
      <c r="A8" s="631" t="s">
        <v>407</v>
      </c>
      <c r="B8" s="632" t="s">
        <v>366</v>
      </c>
      <c r="C8" s="633" t="str">
        <f>VLOOKUP(B8,Pesticide!$B$7:$AE$104,2,0)</f>
        <v>Md. Aktar Hossen</v>
      </c>
      <c r="D8" s="634" t="str">
        <f>VLOOKUP(B8,Pesticide!$B$7:$AE$90,3,0)</f>
        <v>Deputy Manager</v>
      </c>
      <c r="E8" s="634" t="str">
        <f>VLOOKUP(B8,Pesticide!$B$7:$AE$90,4,0)</f>
        <v xml:space="preserve"> Fertilizer</v>
      </c>
      <c r="F8" s="635" t="str">
        <f>VLOOKUP(B8,Pesticide!$B$7:$AE$90,30,0)</f>
        <v>233.158.0013172</v>
      </c>
      <c r="G8" s="636">
        <f>VLOOKUP(B8,Pesticide!$B$7:$AE$90,28,0)</f>
        <v>40995</v>
      </c>
    </row>
    <row r="9" spans="1:7" s="357" customFormat="1" ht="21" customHeight="1">
      <c r="A9" s="631" t="s">
        <v>408</v>
      </c>
      <c r="B9" s="632" t="s">
        <v>369</v>
      </c>
      <c r="C9" s="633" t="str">
        <f>VLOOKUP(B9,Pesticide!$B$7:$AE$104,2,0)</f>
        <v>Md. Khasru Rikabder</v>
      </c>
      <c r="D9" s="634" t="str">
        <f>VLOOKUP(B9,Pesticide!$B$7:$AE$90,3,0)</f>
        <v>Depot Manager</v>
      </c>
      <c r="E9" s="634" t="str">
        <f>VLOOKUP(B9,Pesticide!$B$7:$AE$90,4,0)</f>
        <v>Fertilizer</v>
      </c>
      <c r="F9" s="635" t="str">
        <f>VLOOKUP(B9,Pesticide!$B$7:$AE$90,30,0)</f>
        <v>106.158.0008403</v>
      </c>
      <c r="G9" s="636">
        <f>VLOOKUP(B9,Pesticide!$B$7:$AE$90,28,0)</f>
        <v>38383</v>
      </c>
    </row>
    <row r="10" spans="1:7" s="357" customFormat="1" ht="21" customHeight="1">
      <c r="A10" s="631" t="s">
        <v>409</v>
      </c>
      <c r="B10" s="638" t="s">
        <v>1451</v>
      </c>
      <c r="C10" s="633" t="str">
        <f>VLOOKUP(B10,Pesticide!$B$7:$AE$104,2,0)</f>
        <v>Md. Ahshan Ullah Khan</v>
      </c>
      <c r="D10" s="634" t="str">
        <f>VLOOKUP(B10,Pesticide!$B$7:$AE$90,3,0)</f>
        <v>Site Officer</v>
      </c>
      <c r="E10" s="634" t="str">
        <f>VLOOKUP(B10,Pesticide!$B$7:$AE$90,4,0)</f>
        <v>Pesticide &amp; Fertilizer</v>
      </c>
      <c r="F10" s="635" t="str">
        <f>VLOOKUP(B10,Pesticide!$B$7:$AE$90,30,0)</f>
        <v>125.158.0158446</v>
      </c>
      <c r="G10" s="636">
        <f>VLOOKUP(B10,Pesticide!$B$7:$AE$90,28,0)</f>
        <v>24500</v>
      </c>
    </row>
    <row r="11" spans="1:7" s="357" customFormat="1" ht="21" customHeight="1">
      <c r="A11" s="631" t="s">
        <v>410</v>
      </c>
      <c r="B11" s="638" t="s">
        <v>1612</v>
      </c>
      <c r="C11" s="633" t="str">
        <f>VLOOKUP(B11,Pesticide!$B$7:$AE$104,2,0)</f>
        <v>Md. Amirul Islam</v>
      </c>
      <c r="D11" s="634" t="str">
        <f>VLOOKUP(B11,Pesticide!$B$7:$AE$90,3,0)</f>
        <v>Deputy Manager</v>
      </c>
      <c r="E11" s="634" t="str">
        <f>VLOOKUP(B11,Pesticide!$B$7:$AE$90,4,0)</f>
        <v>Pesticide &amp; Fertilizer</v>
      </c>
      <c r="F11" s="635" t="str">
        <f>VLOOKUP(B11,Pesticide!$B$7:$AE$90,30,0)</f>
        <v>226.103.0027678</v>
      </c>
      <c r="G11" s="636">
        <f>VLOOKUP(B11,Pesticide!$B$7:$AE$90,28,0)</f>
        <v>64545</v>
      </c>
    </row>
    <row r="12" spans="1:7" s="357" customFormat="1" ht="21" customHeight="1">
      <c r="A12" s="631" t="s">
        <v>411</v>
      </c>
      <c r="B12" s="638" t="s">
        <v>1803</v>
      </c>
      <c r="C12" s="633" t="str">
        <f>VLOOKUP(B12,Pesticide!$B$7:$AE$104,2,0)</f>
        <v>Md Matlibur Rahman Khondokar</v>
      </c>
      <c r="D12" s="634" t="str">
        <f>VLOOKUP(B12,Pesticide!$B$7:$AE$90,3,0)</f>
        <v>Factory Incharge</v>
      </c>
      <c r="E12" s="634" t="str">
        <f>VLOOKUP(B12,Pesticide!$B$7:$AE$90,4,0)</f>
        <v>Pesticide &amp; Fertilizer</v>
      </c>
      <c r="F12" s="635" t="str">
        <f>VLOOKUP(B12,Pesticide!$B$7:$AE$90,30,0)</f>
        <v>125.158.0180213</v>
      </c>
      <c r="G12" s="636">
        <f>VLOOKUP(B12,Pesticide!$B$7:$AE$90,28,0)</f>
        <v>28000</v>
      </c>
    </row>
    <row r="13" spans="1:7" s="357" customFormat="1" ht="21" customHeight="1">
      <c r="A13" s="631" t="s">
        <v>412</v>
      </c>
      <c r="B13" s="638" t="s">
        <v>1851</v>
      </c>
      <c r="C13" s="633" t="str">
        <f>VLOOKUP(B13,Pesticide!$B$7:$AE$104,2,0)</f>
        <v>Mozahid Hossen</v>
      </c>
      <c r="D13" s="634" t="str">
        <f>VLOOKUP(B13,Pesticide!$B$7:$AE$90,3,0)</f>
        <v>Security Incharge</v>
      </c>
      <c r="E13" s="634" t="str">
        <f>VLOOKUP(B13,Pesticide!$B$7:$AE$90,4,0)</f>
        <v>Pesticide &amp; Fertilizer</v>
      </c>
      <c r="F13" s="635" t="str">
        <f>VLOOKUP(B13,Pesticide!$B$7:$AE$90,30,0)</f>
        <v>125.103.0242006</v>
      </c>
      <c r="G13" s="636">
        <f>VLOOKUP(B13,Pesticide!$B$7:$AE$90,28,0)</f>
        <v>35000</v>
      </c>
    </row>
    <row r="14" spans="1:7" s="357" customFormat="1" ht="21" customHeight="1">
      <c r="A14" s="631" t="s">
        <v>413</v>
      </c>
      <c r="B14" s="638" t="s">
        <v>1855</v>
      </c>
      <c r="C14" s="633" t="str">
        <f>VLOOKUP(B14,Pesticide!$B$7:$AE$104,2,0)</f>
        <v>Md ZM Zannatul Hadik</v>
      </c>
      <c r="D14" s="634" t="str">
        <f>VLOOKUP(B14,Pesticide!$B$7:$AE$90,3,0)</f>
        <v>MIS Officer</v>
      </c>
      <c r="E14" s="634" t="str">
        <f>VLOOKUP(B14,Pesticide!$B$7:$AE$90,4,0)</f>
        <v>Pesticide &amp; Fertilizer</v>
      </c>
      <c r="F14" s="635" t="str">
        <f>VLOOKUP(B14,Pesticide!$B$7:$AE$90,30,0)</f>
        <v>103.103.1420228</v>
      </c>
      <c r="G14" s="636">
        <f>VLOOKUP(B14,Pesticide!$B$7:$AE$90,28,0)</f>
        <v>14903</v>
      </c>
    </row>
    <row r="15" spans="1:7" s="357" customFormat="1" ht="21" customHeight="1">
      <c r="A15" s="631" t="s">
        <v>414</v>
      </c>
      <c r="B15" s="638" t="s">
        <v>362</v>
      </c>
      <c r="C15" s="633" t="str">
        <f>VLOOKUP(B15,Pesticide!$B$7:$AE$104,2,0)</f>
        <v>Md. Mohidul Islam Chowdhury</v>
      </c>
      <c r="D15" s="634" t="str">
        <f>VLOOKUP(B15,Pesticide!$B$7:$AE$90,3,0)</f>
        <v>COO</v>
      </c>
      <c r="E15" s="634" t="str">
        <f>VLOOKUP(B15,Pesticide!$B$7:$AE$90,4,0)</f>
        <v xml:space="preserve"> Fertilizer</v>
      </c>
      <c r="F15" s="635" t="str">
        <f>VLOOKUP(B15,Pesticide!$B$7:$AE$90,30,0)</f>
        <v>116.103.0078787</v>
      </c>
      <c r="G15" s="636">
        <f>VLOOKUP(B15,Pesticide!$B$7:$AE$90,28,0)</f>
        <v>126512</v>
      </c>
    </row>
    <row r="16" spans="1:7" s="357" customFormat="1" ht="21" customHeight="1">
      <c r="A16" s="631" t="s">
        <v>415</v>
      </c>
      <c r="B16" s="638" t="s">
        <v>375</v>
      </c>
      <c r="C16" s="633" t="str">
        <f>VLOOKUP(B16,Pesticide!$B$7:$AE$104,2,0)</f>
        <v>Md. Junaidur Rahman</v>
      </c>
      <c r="D16" s="634" t="str">
        <f>VLOOKUP(B16,Pesticide!$B$7:$AE$90,3,0)</f>
        <v>Asst. Manager</v>
      </c>
      <c r="E16" s="634" t="str">
        <f>VLOOKUP(B16,Pesticide!$B$7:$AE$90,4,0)</f>
        <v>Fertilizer</v>
      </c>
      <c r="F16" s="635" t="str">
        <f>VLOOKUP(B16,Pesticide!$B$7:$AE$90,30,0)</f>
        <v>103.103.1326628</v>
      </c>
      <c r="G16" s="636">
        <f>VLOOKUP(B16,Pesticide!$B$7:$AE$90,28,0)</f>
        <v>33950</v>
      </c>
    </row>
    <row r="17" spans="1:7" s="357" customFormat="1" ht="21" customHeight="1">
      <c r="A17" s="631" t="s">
        <v>416</v>
      </c>
      <c r="B17" s="638" t="s">
        <v>221</v>
      </c>
      <c r="C17" s="633" t="str">
        <f>VLOOKUP(B17,Pesticide!$B$7:$AE$104,2,0)</f>
        <v>Md. Nazmul Haque</v>
      </c>
      <c r="D17" s="634" t="str">
        <f>VLOOKUP(B17,Pesticide!$B$7:$AE$90,3,0)</f>
        <v>Sr. Territory Manager</v>
      </c>
      <c r="E17" s="634" t="str">
        <f>VLOOKUP(B17,Pesticide!$B$7:$AE$90,4,0)</f>
        <v>S&amp;M</v>
      </c>
      <c r="F17" s="635" t="str">
        <f>VLOOKUP(B17,Pesticide!$B$7:$AE$90,30,0)</f>
        <v>125.158.0032322</v>
      </c>
      <c r="G17" s="636">
        <f>VLOOKUP(B17,Pesticide!$B$7:$AE$90,28,0)</f>
        <v>37865</v>
      </c>
    </row>
    <row r="18" spans="1:7" s="357" customFormat="1" ht="21" customHeight="1">
      <c r="A18" s="631" t="s">
        <v>417</v>
      </c>
      <c r="B18" s="638" t="s">
        <v>216</v>
      </c>
      <c r="C18" s="633" t="str">
        <f>VLOOKUP(B18,Pesticide!$B$7:$AE$104,2,0)</f>
        <v>Syed Azgar Ali</v>
      </c>
      <c r="D18" s="634" t="str">
        <f>VLOOKUP(B18,Pesticide!$B$7:$AE$90,3,0)</f>
        <v>Assistant Territory Manager</v>
      </c>
      <c r="E18" s="634" t="str">
        <f>VLOOKUP(B18,Pesticide!$B$7:$AE$90,4,0)</f>
        <v>S&amp;M</v>
      </c>
      <c r="F18" s="635" t="str">
        <f>VLOOKUP(B18,Pesticide!$B$7:$AE$90,30,0)</f>
        <v>127.158.0050790</v>
      </c>
      <c r="G18" s="636">
        <f>VLOOKUP(B18,Pesticide!$B$7:$AE$90,28,0)</f>
        <v>43013</v>
      </c>
    </row>
    <row r="19" spans="1:7" s="357" customFormat="1" ht="21" customHeight="1">
      <c r="A19" s="631" t="s">
        <v>418</v>
      </c>
      <c r="B19" s="638" t="s">
        <v>1075</v>
      </c>
      <c r="C19" s="633" t="str">
        <f>VLOOKUP(B19,Pesticide!$B$7:$AE$104,2,0)</f>
        <v>Md Alamgir Hossain</v>
      </c>
      <c r="D19" s="634" t="str">
        <f>VLOOKUP(B19,Pesticide!$B$7:$AE$90,3,0)</f>
        <v>Sr. Territory Manager (Pesticide)</v>
      </c>
      <c r="E19" s="634" t="str">
        <f>VLOOKUP(B19,Pesticide!$B$7:$AE$90,4,0)</f>
        <v>S&amp;M</v>
      </c>
      <c r="F19" s="635" t="str">
        <f>VLOOKUP(B19,Pesticide!$B$7:$AE$90,30,0)</f>
        <v>135.157.0032987</v>
      </c>
      <c r="G19" s="636">
        <f>VLOOKUP(B19,Pesticide!$B$7:$AE$90,28,0)</f>
        <v>43233</v>
      </c>
    </row>
    <row r="20" spans="1:7" s="357" customFormat="1" ht="21" customHeight="1">
      <c r="A20" s="631" t="s">
        <v>419</v>
      </c>
      <c r="B20" s="638" t="s">
        <v>1109</v>
      </c>
      <c r="C20" s="633" t="str">
        <f>VLOOKUP(B20,Pesticide!$B$7:$AE$104,2,0)</f>
        <v>Md Amirul Islam</v>
      </c>
      <c r="D20" s="634" t="str">
        <f>VLOOKUP(B20,Pesticide!$B$7:$AE$90,3,0)</f>
        <v>Territory Sales officer</v>
      </c>
      <c r="E20" s="634" t="str">
        <f>VLOOKUP(B20,Pesticide!$B$7:$AE$90,4,0)</f>
        <v>Pesticide</v>
      </c>
      <c r="F20" s="635" t="str">
        <f>VLOOKUP(B20,Pesticide!$B$7:$AE$90,30,0)</f>
        <v>157.158.0026753</v>
      </c>
      <c r="G20" s="636">
        <f>VLOOKUP(B20,Pesticide!$B$7:$AE$90,28,0)</f>
        <v>21105</v>
      </c>
    </row>
    <row r="21" spans="1:7" s="357" customFormat="1" ht="21" customHeight="1">
      <c r="A21" s="631" t="s">
        <v>420</v>
      </c>
      <c r="B21" s="638" t="s">
        <v>1115</v>
      </c>
      <c r="C21" s="633" t="str">
        <f>VLOOKUP(B21,Pesticide!$B$7:$AE$104,2,0)</f>
        <v>Md Minarul Islam</v>
      </c>
      <c r="D21" s="634" t="str">
        <f>VLOOKUP(B21,Pesticide!$B$7:$AE$90,3,0)</f>
        <v>Territory Sales officer</v>
      </c>
      <c r="E21" s="634" t="str">
        <f>VLOOKUP(B21,Pesticide!$B$7:$AE$90,4,0)</f>
        <v>Pesticide</v>
      </c>
      <c r="F21" s="635" t="str">
        <f>VLOOKUP(B21,Pesticide!$B$7:$AE$90,30,0)</f>
        <v>135.158.0152701</v>
      </c>
      <c r="G21" s="636">
        <f>VLOOKUP(B21,Pesticide!$B$7:$AE$90,28,0)</f>
        <v>21340</v>
      </c>
    </row>
    <row r="22" spans="1:7" s="357" customFormat="1" ht="21" customHeight="1">
      <c r="A22" s="631" t="s">
        <v>724</v>
      </c>
      <c r="B22" s="638" t="s">
        <v>1130</v>
      </c>
      <c r="C22" s="633" t="str">
        <f>VLOOKUP(B22,Pesticide!$B$7:$AE$104,2,0)</f>
        <v>Md Monowar Hossain</v>
      </c>
      <c r="D22" s="634" t="str">
        <f>VLOOKUP(B22,Pesticide!$B$7:$AE$90,3,0)</f>
        <v>ARM</v>
      </c>
      <c r="E22" s="634" t="str">
        <f>VLOOKUP(B22,Pesticide!$B$7:$AE$90,4,0)</f>
        <v>Pesticide</v>
      </c>
      <c r="F22" s="635" t="str">
        <f>VLOOKUP(B22,Pesticide!$B$7:$AE$90,30,0)</f>
        <v>162.158.0134850</v>
      </c>
      <c r="G22" s="636">
        <f>VLOOKUP(B22,Pesticide!$B$7:$AE$90,28,0)</f>
        <v>40740</v>
      </c>
    </row>
    <row r="23" spans="1:7" s="357" customFormat="1" ht="21" customHeight="1">
      <c r="A23" s="631" t="s">
        <v>725</v>
      </c>
      <c r="B23" s="638" t="s">
        <v>1134</v>
      </c>
      <c r="C23" s="633" t="str">
        <f>VLOOKUP(B23,Pesticide!$B$7:$AE$104,2,0)</f>
        <v>Md Mizanur Rahaman</v>
      </c>
      <c r="D23" s="634" t="str">
        <f>VLOOKUP(B23,Pesticide!$B$7:$AE$90,3,0)</f>
        <v>Sr. Territory Sales Officer</v>
      </c>
      <c r="E23" s="634" t="str">
        <f>VLOOKUP(B23,Pesticide!$B$7:$AE$90,4,0)</f>
        <v>Pesticide</v>
      </c>
      <c r="F23" s="635" t="str">
        <f>VLOOKUP(B23,Pesticide!$B$7:$AE$90,30,0)</f>
        <v>162.157.0032344</v>
      </c>
      <c r="G23" s="636">
        <f>VLOOKUP(B23,Pesticide!$B$7:$AE$90,28,0)</f>
        <v>23825</v>
      </c>
    </row>
    <row r="24" spans="1:7" s="357" customFormat="1" ht="21" customHeight="1">
      <c r="A24" s="631" t="s">
        <v>726</v>
      </c>
      <c r="B24" s="638" t="s">
        <v>1136</v>
      </c>
      <c r="C24" s="633" t="str">
        <f>VLOOKUP(B24,Pesticide!$B$7:$AE$104,2,0)</f>
        <v>Md Aminul Islam</v>
      </c>
      <c r="D24" s="634" t="str">
        <f>VLOOKUP(B24,Pesticide!$B$7:$AE$90,3,0)</f>
        <v>Territory Sales Officer</v>
      </c>
      <c r="E24" s="634" t="str">
        <f>VLOOKUP(B24,Pesticide!$B$7:$AE$90,4,0)</f>
        <v>Pesticide</v>
      </c>
      <c r="F24" s="635" t="str">
        <f>VLOOKUP(B24,Pesticide!$B$7:$AE$90,30,0)</f>
        <v>302.158.0053713</v>
      </c>
      <c r="G24" s="636">
        <f>VLOOKUP(B24,Pesticide!$B$7:$AE$90,28,0)</f>
        <v>18825</v>
      </c>
    </row>
    <row r="25" spans="1:7" s="357" customFormat="1" ht="21" customHeight="1">
      <c r="A25" s="631" t="s">
        <v>727</v>
      </c>
      <c r="B25" s="638" t="s">
        <v>1137</v>
      </c>
      <c r="C25" s="633" t="str">
        <f>VLOOKUP(B25,Pesticide!$B$7:$AE$104,2,0)</f>
        <v>Md Alamgir Hossain</v>
      </c>
      <c r="D25" s="634" t="str">
        <f>VLOOKUP(B25,Pesticide!$B$7:$AE$90,3,0)</f>
        <v>Sr. Territory Sales Officer</v>
      </c>
      <c r="E25" s="634" t="str">
        <f>VLOOKUP(B25,Pesticide!$B$7:$AE$90,4,0)</f>
        <v>Pesticide</v>
      </c>
      <c r="F25" s="635" t="str">
        <f>VLOOKUP(B25,Pesticide!$B$7:$AE$90,30,0)</f>
        <v>162.158.0135244</v>
      </c>
      <c r="G25" s="636">
        <f>VLOOKUP(B25,Pesticide!$B$7:$AE$90,28,0)</f>
        <v>20135</v>
      </c>
    </row>
    <row r="26" spans="1:7" s="357" customFormat="1" ht="21" customHeight="1">
      <c r="A26" s="631" t="s">
        <v>728</v>
      </c>
      <c r="B26" s="638" t="s">
        <v>1138</v>
      </c>
      <c r="C26" s="633" t="str">
        <f>VLOOKUP(B26,Pesticide!$B$7:$AE$104,2,0)</f>
        <v>Md Roknuzzaman</v>
      </c>
      <c r="D26" s="634" t="str">
        <f>VLOOKUP(B26,Pesticide!$B$7:$AE$90,3,0)</f>
        <v>Sr. Territory Sales Officer</v>
      </c>
      <c r="E26" s="634" t="str">
        <f>VLOOKUP(B26,Pesticide!$B$7:$AE$90,4,0)</f>
        <v>Pesticide</v>
      </c>
      <c r="F26" s="635" t="str">
        <f>VLOOKUP(B26,Pesticide!$B$7:$AE$90,30,0)</f>
        <v>125.158.0128985</v>
      </c>
      <c r="G26" s="636">
        <f>VLOOKUP(B26,Pesticide!$B$7:$AE$90,28,0)</f>
        <v>22825</v>
      </c>
    </row>
    <row r="27" spans="1:7" s="357" customFormat="1" ht="21" customHeight="1">
      <c r="A27" s="631" t="s">
        <v>729</v>
      </c>
      <c r="B27" s="638" t="s">
        <v>1156</v>
      </c>
      <c r="C27" s="633" t="str">
        <f>VLOOKUP(B27,Pesticide!$B$7:$AE$104,2,0)</f>
        <v>Dewan Kamrul Hasan</v>
      </c>
      <c r="D27" s="634" t="str">
        <f>VLOOKUP(B27,Pesticide!$B$7:$AE$90,3,0)</f>
        <v>Asst. General Manager</v>
      </c>
      <c r="E27" s="634" t="str">
        <f>VLOOKUP(B27,Pesticide!$B$7:$AE$90,4,0)</f>
        <v>Pesticide</v>
      </c>
      <c r="F27" s="635" t="str">
        <f>VLOOKUP(B27,Pesticide!$B$7:$AE$90,30,0)</f>
        <v>103.103.1392785</v>
      </c>
      <c r="G27" s="636">
        <f>VLOOKUP(B27,Pesticide!$B$7:$AE$90,28,0)</f>
        <v>115535</v>
      </c>
    </row>
    <row r="28" spans="1:7" s="357" customFormat="1" ht="21" customHeight="1">
      <c r="A28" s="631" t="s">
        <v>730</v>
      </c>
      <c r="B28" s="638" t="s">
        <v>1203</v>
      </c>
      <c r="C28" s="633" t="str">
        <f>VLOOKUP(B28,Pesticide!$B$7:$AE$104,2,0)</f>
        <v>Md. Yousub Ali</v>
      </c>
      <c r="D28" s="634" t="str">
        <f>VLOOKUP(B28,Pesticide!$B$7:$AE$90,3,0)</f>
        <v>Territory Sales Officer</v>
      </c>
      <c r="E28" s="634" t="str">
        <f>VLOOKUP(B28,Pesticide!$B$7:$AE$90,4,0)</f>
        <v>Pesticide</v>
      </c>
      <c r="F28" s="635" t="str">
        <f>VLOOKUP(B28,Pesticide!$B$7:$AE$90,30,0)</f>
        <v>103.103.1252580</v>
      </c>
      <c r="G28" s="636">
        <f>VLOOKUP(B28,Pesticide!$B$7:$AE$90,28,0)</f>
        <v>22000</v>
      </c>
    </row>
    <row r="29" spans="1:7" s="357" customFormat="1" ht="21" customHeight="1">
      <c r="A29" s="631" t="s">
        <v>731</v>
      </c>
      <c r="B29" s="638" t="s">
        <v>1210</v>
      </c>
      <c r="C29" s="633" t="str">
        <f>VLOOKUP(B29,Pesticide!$B$7:$AE$104,2,0)</f>
        <v>Md Tuhin Akram</v>
      </c>
      <c r="D29" s="634" t="str">
        <f>VLOOKUP(B29,Pesticide!$B$7:$AE$90,3,0)</f>
        <v>Territory Sales Officer</v>
      </c>
      <c r="E29" s="634" t="str">
        <f>VLOOKUP(B29,Pesticide!$B$7:$AE$90,4,0)</f>
        <v>Pesticide</v>
      </c>
      <c r="F29" s="635" t="str">
        <f>VLOOKUP(B29,Pesticide!$B$7:$AE$90,30,0)</f>
        <v>207.158.0082755</v>
      </c>
      <c r="G29" s="636">
        <f>VLOOKUP(B29,Pesticide!$B$7:$AE$90,28,0)</f>
        <v>20000</v>
      </c>
    </row>
    <row r="30" spans="1:7" s="357" customFormat="1" ht="21" customHeight="1">
      <c r="A30" s="631" t="s">
        <v>732</v>
      </c>
      <c r="B30" s="638" t="s">
        <v>1212</v>
      </c>
      <c r="C30" s="633" t="str">
        <f>VLOOKUP(B30,Pesticide!$B$7:$AE$104,2,0)</f>
        <v>Md Rakib Hossain</v>
      </c>
      <c r="D30" s="634" t="str">
        <f>VLOOKUP(B30,Pesticide!$B$7:$AE$90,3,0)</f>
        <v>Territory Sales Officer</v>
      </c>
      <c r="E30" s="634" t="str">
        <f>VLOOKUP(B30,Pesticide!$B$7:$AE$90,4,0)</f>
        <v>Pesticide</v>
      </c>
      <c r="F30" s="635" t="str">
        <f>VLOOKUP(B30,Pesticide!$B$7:$AE$90,30,0)</f>
        <v>294.158.0020104</v>
      </c>
      <c r="G30" s="636">
        <f>VLOOKUP(B30,Pesticide!$B$7:$AE$90,28,0)</f>
        <v>17825</v>
      </c>
    </row>
    <row r="31" spans="1:7" s="357" customFormat="1" ht="21" customHeight="1">
      <c r="A31" s="631" t="s">
        <v>733</v>
      </c>
      <c r="B31" s="638" t="s">
        <v>1214</v>
      </c>
      <c r="C31" s="633" t="str">
        <f>VLOOKUP(B31,Pesticide!$B$7:$AE$104,2,0)</f>
        <v>Md Atikur Rahman</v>
      </c>
      <c r="D31" s="634" t="str">
        <f>VLOOKUP(B31,Pesticide!$B$7:$AE$90,3,0)</f>
        <v>Territory Sales Officer</v>
      </c>
      <c r="E31" s="634" t="str">
        <f>VLOOKUP(B31,Pesticide!$B$7:$AE$90,4,0)</f>
        <v>Pesticide</v>
      </c>
      <c r="F31" s="635" t="str">
        <f>VLOOKUP(B31,Pesticide!$B$7:$AE$90,30,0)</f>
        <v>262.158.0033439</v>
      </c>
      <c r="G31" s="636">
        <f>VLOOKUP(B31,Pesticide!$B$7:$AE$90,28,0)</f>
        <v>20825</v>
      </c>
    </row>
    <row r="32" spans="1:7" s="357" customFormat="1" ht="21" customHeight="1">
      <c r="A32" s="631" t="s">
        <v>734</v>
      </c>
      <c r="B32" s="638" t="s">
        <v>1222</v>
      </c>
      <c r="C32" s="633" t="str">
        <f>VLOOKUP(B32,Pesticide!$B$7:$AE$104,2,0)</f>
        <v>Md Asaduzzaman</v>
      </c>
      <c r="D32" s="634" t="str">
        <f>VLOOKUP(B32,Pesticide!$B$7:$AE$90,3,0)</f>
        <v>Sr. Territory Sales Officer</v>
      </c>
      <c r="E32" s="634" t="str">
        <f>VLOOKUP(B32,Pesticide!$B$7:$AE$90,4,0)</f>
        <v>Pesticide</v>
      </c>
      <c r="F32" s="635" t="str">
        <f>VLOOKUP(B32,Pesticide!$B$7:$AE$90,30,0)</f>
        <v>194.151.0136538</v>
      </c>
      <c r="G32" s="636">
        <f>VLOOKUP(B32,Pesticide!$B$7:$AE$90,28,0)</f>
        <v>23825</v>
      </c>
    </row>
    <row r="33" spans="1:7" s="357" customFormat="1" ht="21" customHeight="1">
      <c r="A33" s="631" t="s">
        <v>735</v>
      </c>
      <c r="B33" s="638" t="s">
        <v>1223</v>
      </c>
      <c r="C33" s="633" t="str">
        <f>VLOOKUP(B33,Pesticide!$B$7:$AE$104,2,0)</f>
        <v>Md Rasadul Islam</v>
      </c>
      <c r="D33" s="634" t="str">
        <f>VLOOKUP(B33,Pesticide!$B$7:$AE$90,3,0)</f>
        <v>Sr. Territory Sales Officer</v>
      </c>
      <c r="E33" s="634" t="str">
        <f>VLOOKUP(B33,Pesticide!$B$7:$AE$90,4,0)</f>
        <v>Pesticide</v>
      </c>
      <c r="F33" s="635" t="str">
        <f>VLOOKUP(B33,Pesticide!$B$7:$AE$90,30,0)</f>
        <v>127.103.0237223</v>
      </c>
      <c r="G33" s="636">
        <f>VLOOKUP(B33,Pesticide!$B$7:$AE$90,28,0)</f>
        <v>25000</v>
      </c>
    </row>
    <row r="34" spans="1:7" s="357" customFormat="1" ht="22.5" customHeight="1">
      <c r="A34" s="631" t="s">
        <v>736</v>
      </c>
      <c r="B34" s="638" t="s">
        <v>1296</v>
      </c>
      <c r="C34" s="633" t="str">
        <f>VLOOKUP(B34,Pesticide!$B$7:$AE$104,2,0)</f>
        <v>Md Hasin Ul Ahsan</v>
      </c>
      <c r="D34" s="634" t="str">
        <f>VLOOKUP(B34,Pesticide!$B$7:$AE$90,3,0)</f>
        <v>Territory Sales Officer</v>
      </c>
      <c r="E34" s="634" t="str">
        <f>VLOOKUP(B34,Pesticide!$B$7:$AE$90,4,0)</f>
        <v>Pesticide</v>
      </c>
      <c r="F34" s="635" t="str">
        <f>VLOOKUP(B34,Pesticide!$B$7:$AE$90,30,0)</f>
        <v>172.103.0062164</v>
      </c>
      <c r="G34" s="636">
        <f>VLOOKUP(B34,Pesticide!$B$7:$AE$90,28,0)</f>
        <v>23000</v>
      </c>
    </row>
    <row r="35" spans="1:7" s="357" customFormat="1" ht="22.5" customHeight="1">
      <c r="A35" s="631" t="s">
        <v>737</v>
      </c>
      <c r="B35" s="638" t="s">
        <v>1298</v>
      </c>
      <c r="C35" s="633" t="str">
        <f>VLOOKUP(B35,Pesticide!$B$7:$AE$104,2,0)</f>
        <v>Md Shujon Ali</v>
      </c>
      <c r="D35" s="634" t="str">
        <f>VLOOKUP(B35,Pesticide!$B$7:$AE$90,3,0)</f>
        <v>Territory Sales Officer</v>
      </c>
      <c r="E35" s="634" t="str">
        <f>VLOOKUP(B35,Pesticide!$B$7:$AE$90,4,0)</f>
        <v>Pesticide</v>
      </c>
      <c r="F35" s="635" t="str">
        <f>VLOOKUP(B35,Pesticide!$B$7:$AE$90,30,0)</f>
        <v>228.158.0086493</v>
      </c>
      <c r="G35" s="636">
        <f>VLOOKUP(B35,Pesticide!$B$7:$AE$90,28,0)</f>
        <v>23000</v>
      </c>
    </row>
    <row r="36" spans="1:7" s="357" customFormat="1" ht="22.5" customHeight="1">
      <c r="A36" s="631" t="s">
        <v>715</v>
      </c>
      <c r="B36" s="638" t="s">
        <v>1300</v>
      </c>
      <c r="C36" s="633" t="str">
        <f>VLOOKUP(B36,Pesticide!$B$7:$AE$104,2,0)</f>
        <v>Md Harun Or Rashid</v>
      </c>
      <c r="D36" s="634" t="str">
        <f>VLOOKUP(B36,Pesticide!$B$7:$AE$90,3,0)</f>
        <v>Territory Sales Officer</v>
      </c>
      <c r="E36" s="634" t="str">
        <f>VLOOKUP(B36,Pesticide!$B$7:$AE$90,4,0)</f>
        <v>Pesticide</v>
      </c>
      <c r="F36" s="635" t="str">
        <f>VLOOKUP(B36,Pesticide!$B$7:$AE$90,30,0)</f>
        <v>200.103.0035874</v>
      </c>
      <c r="G36" s="636">
        <f>VLOOKUP(B36,Pesticide!$B$7:$AE$90,28,0)</f>
        <v>20840</v>
      </c>
    </row>
    <row r="37" spans="1:7" s="357" customFormat="1" ht="22.5" customHeight="1">
      <c r="A37" s="631" t="s">
        <v>738</v>
      </c>
      <c r="B37" s="638" t="s">
        <v>1302</v>
      </c>
      <c r="C37" s="633" t="str">
        <f>VLOOKUP(B37,Pesticide!$B$7:$AE$104,2,0)</f>
        <v>Alamgir</v>
      </c>
      <c r="D37" s="634" t="str">
        <f>VLOOKUP(B37,Pesticide!$B$7:$AE$90,3,0)</f>
        <v>Territory Sales Officer</v>
      </c>
      <c r="E37" s="634" t="str">
        <f>VLOOKUP(B37,Pesticide!$B$7:$AE$90,4,0)</f>
        <v>Pesticide</v>
      </c>
      <c r="F37" s="635" t="str">
        <f>VLOOKUP(B37,Pesticide!$B$7:$AE$90,30,0)</f>
        <v>219.103.0078933</v>
      </c>
      <c r="G37" s="636">
        <f>VLOOKUP(B37,Pesticide!$B$7:$AE$90,28,0)</f>
        <v>23000</v>
      </c>
    </row>
    <row r="38" spans="1:7" s="357" customFormat="1" ht="22.5" customHeight="1">
      <c r="A38" s="631" t="s">
        <v>739</v>
      </c>
      <c r="B38" s="638" t="s">
        <v>1304</v>
      </c>
      <c r="C38" s="633" t="str">
        <f>VLOOKUP(B38,Pesticide!$B$7:$AE$104,2,0)</f>
        <v>Md Amirul Islam</v>
      </c>
      <c r="D38" s="634" t="str">
        <f>VLOOKUP(B38,Pesticide!$B$7:$AE$90,3,0)</f>
        <v>Territory Sales Officer</v>
      </c>
      <c r="E38" s="634" t="str">
        <f>VLOOKUP(B38,Pesticide!$B$7:$AE$90,4,0)</f>
        <v>Pesticide</v>
      </c>
      <c r="F38" s="635" t="str">
        <f>VLOOKUP(B38,Pesticide!$B$7:$AE$90,30,0)</f>
        <v>268.158.0063242</v>
      </c>
      <c r="G38" s="636">
        <f>VLOOKUP(B38,Pesticide!$B$7:$AE$90,28,0)</f>
        <v>23000</v>
      </c>
    </row>
    <row r="39" spans="1:7" s="357" customFormat="1" ht="22.5" customHeight="1">
      <c r="A39" s="631" t="s">
        <v>740</v>
      </c>
      <c r="B39" s="638" t="s">
        <v>1305</v>
      </c>
      <c r="C39" s="633" t="str">
        <f>VLOOKUP(B39,Pesticide!$B$7:$AE$104,2,0)</f>
        <v>Md Mithu Mia</v>
      </c>
      <c r="D39" s="634" t="str">
        <f>VLOOKUP(B39,Pesticide!$B$7:$AE$90,3,0)</f>
        <v>Territory Sales Officer</v>
      </c>
      <c r="E39" s="634" t="str">
        <f>VLOOKUP(B39,Pesticide!$B$7:$AE$90,4,0)</f>
        <v>Pesticide</v>
      </c>
      <c r="F39" s="635" t="str">
        <f>VLOOKUP(B39,Pesticide!$B$7:$AE$90,30,0)</f>
        <v>232.158.0075516</v>
      </c>
      <c r="G39" s="636">
        <f>VLOOKUP(B39,Pesticide!$B$7:$AE$90,28,0)</f>
        <v>20825</v>
      </c>
    </row>
    <row r="40" spans="1:7" s="357" customFormat="1" ht="22.5" customHeight="1">
      <c r="A40" s="631" t="s">
        <v>741</v>
      </c>
      <c r="B40" s="638" t="s">
        <v>1307</v>
      </c>
      <c r="C40" s="633" t="str">
        <f>VLOOKUP(B40,Pesticide!$B$7:$AE$104,2,0)</f>
        <v>Md Nura Alam</v>
      </c>
      <c r="D40" s="634" t="str">
        <f>VLOOKUP(B40,Pesticide!$B$7:$AE$90,3,0)</f>
        <v>Assistant Territory Sales officer</v>
      </c>
      <c r="E40" s="634" t="str">
        <f>VLOOKUP(B40,Pesticide!$B$7:$AE$90,4,0)</f>
        <v>Pesticide</v>
      </c>
      <c r="F40" s="635" t="str">
        <f>VLOOKUP(B40,Pesticide!$B$7:$AE$90,30,0)</f>
        <v>296.158.0075000</v>
      </c>
      <c r="G40" s="636">
        <f>VLOOKUP(B40,Pesticide!$B$7:$AE$90,28,0)</f>
        <v>18000</v>
      </c>
    </row>
    <row r="41" spans="1:7" s="357" customFormat="1" ht="22.5" customHeight="1">
      <c r="A41" s="631" t="s">
        <v>742</v>
      </c>
      <c r="B41" s="638" t="s">
        <v>1309</v>
      </c>
      <c r="C41" s="633" t="str">
        <f>VLOOKUP(B41,Pesticide!$B$7:$AE$104,2,0)</f>
        <v>Md Ariful Islam</v>
      </c>
      <c r="D41" s="634" t="str">
        <f>VLOOKUP(B41,Pesticide!$B$7:$AE$90,3,0)</f>
        <v>Assistant Territory Sales officer</v>
      </c>
      <c r="E41" s="634" t="str">
        <f>VLOOKUP(B41,Pesticide!$B$7:$AE$90,4,0)</f>
        <v>Pesticide</v>
      </c>
      <c r="F41" s="635" t="str">
        <f>VLOOKUP(B41,Pesticide!$B$7:$AE$90,30,0)</f>
        <v>156.158.0130434</v>
      </c>
      <c r="G41" s="636">
        <f>VLOOKUP(B41,Pesticide!$B$7:$AE$90,28,0)</f>
        <v>15840</v>
      </c>
    </row>
    <row r="42" spans="1:7" s="357" customFormat="1" ht="22.5" customHeight="1">
      <c r="A42" s="631" t="s">
        <v>743</v>
      </c>
      <c r="B42" s="638" t="s">
        <v>1311</v>
      </c>
      <c r="C42" s="633" t="str">
        <f>VLOOKUP(B42,Pesticide!$B$7:$AE$104,2,0)</f>
        <v>Md Kabir Hosen</v>
      </c>
      <c r="D42" s="634" t="str">
        <f>VLOOKUP(B42,Pesticide!$B$7:$AE$90,3,0)</f>
        <v>Territory Sales Officer</v>
      </c>
      <c r="E42" s="634" t="str">
        <f>VLOOKUP(B42,Pesticide!$B$7:$AE$90,4,0)</f>
        <v>Pesticide</v>
      </c>
      <c r="F42" s="635" t="str">
        <f>VLOOKUP(B42,Pesticide!$B$7:$AE$90,30,0)</f>
        <v>268.158.0019315</v>
      </c>
      <c r="G42" s="636">
        <f>VLOOKUP(B42,Pesticide!$B$7:$AE$90,28,0)</f>
        <v>17825</v>
      </c>
    </row>
    <row r="43" spans="1:7" s="357" customFormat="1" ht="22.5" customHeight="1">
      <c r="A43" s="631" t="s">
        <v>744</v>
      </c>
      <c r="B43" s="638" t="s">
        <v>1373</v>
      </c>
      <c r="C43" s="633" t="str">
        <f>VLOOKUP(B43,Pesticide!$B$7:$AE$104,2,0)</f>
        <v>Md Mogal Miah</v>
      </c>
      <c r="D43" s="634" t="str">
        <f>VLOOKUP(B43,Pesticide!$B$7:$AE$90,3,0)</f>
        <v>Sr. Territory Sales Officer</v>
      </c>
      <c r="E43" s="634" t="str">
        <f>VLOOKUP(B43,Pesticide!$B$7:$AE$90,4,0)</f>
        <v>Pesticide</v>
      </c>
      <c r="F43" s="635" t="str">
        <f>VLOOKUP(B43,Pesticide!$B$7:$AE$90,30,0)</f>
        <v>249.103.0077051</v>
      </c>
      <c r="G43" s="636">
        <f>VLOOKUP(B43,Pesticide!$B$7:$AE$90,28,0)</f>
        <v>25000</v>
      </c>
    </row>
    <row r="44" spans="1:7" s="357" customFormat="1" ht="22.5" customHeight="1">
      <c r="A44" s="631" t="s">
        <v>745</v>
      </c>
      <c r="B44" s="638" t="s">
        <v>1431</v>
      </c>
      <c r="C44" s="633" t="str">
        <f>VLOOKUP(B44,Pesticide!$B$7:$AE$104,2,0)</f>
        <v>Md. Alamgir Hossain</v>
      </c>
      <c r="D44" s="634" t="str">
        <f>VLOOKUP(B44,Pesticide!$B$7:$AE$90,3,0)</f>
        <v>Sr. Territory Manager</v>
      </c>
      <c r="E44" s="634" t="str">
        <f>VLOOKUP(B44,Pesticide!$B$7:$AE$90,4,0)</f>
        <v>Pesticide &amp; Fertilizer</v>
      </c>
      <c r="F44" s="635" t="str">
        <f>VLOOKUP(B44,Pesticide!$B$7:$AE$90,30,0)</f>
        <v>163.103.0198638</v>
      </c>
      <c r="G44" s="636">
        <f>VLOOKUP(B44,Pesticide!$B$7:$AE$90,28,0)</f>
        <v>43583</v>
      </c>
    </row>
    <row r="45" spans="1:7" s="357" customFormat="1" ht="22.5" customHeight="1">
      <c r="A45" s="631" t="s">
        <v>746</v>
      </c>
      <c r="B45" s="638" t="s">
        <v>1432</v>
      </c>
      <c r="C45" s="633" t="str">
        <f>VLOOKUP(B45,Pesticide!$B$7:$AE$104,2,0)</f>
        <v>Mohammod Rokon Ali</v>
      </c>
      <c r="D45" s="634" t="str">
        <f>VLOOKUP(B45,Pesticide!$B$7:$AE$90,3,0)</f>
        <v>Sr. Territory Sales Officer</v>
      </c>
      <c r="E45" s="634" t="str">
        <f>VLOOKUP(B45,Pesticide!$B$7:$AE$90,4,0)</f>
        <v>Pesticide &amp; Fertilizer</v>
      </c>
      <c r="F45" s="635" t="str">
        <f>VLOOKUP(B45,Pesticide!$B$7:$AE$90,30,0)</f>
        <v>168.103.0186275</v>
      </c>
      <c r="G45" s="636">
        <f>VLOOKUP(B45,Pesticide!$B$7:$AE$90,28,0)</f>
        <v>23000</v>
      </c>
    </row>
    <row r="46" spans="1:7" s="357" customFormat="1" ht="22.5" customHeight="1">
      <c r="A46" s="631" t="s">
        <v>747</v>
      </c>
      <c r="B46" s="638" t="s">
        <v>1434</v>
      </c>
      <c r="C46" s="633" t="str">
        <f>VLOOKUP(B46,Pesticide!$B$7:$AE$104,2,0)</f>
        <v>Md. Habibur Rahman</v>
      </c>
      <c r="D46" s="634" t="str">
        <f>VLOOKUP(B46,Pesticide!$B$7:$AE$90,3,0)</f>
        <v>Sr. Territory Sales Officer</v>
      </c>
      <c r="E46" s="634" t="str">
        <f>VLOOKUP(B46,Pesticide!$B$7:$AE$90,4,0)</f>
        <v>Pesticide &amp; Fertilizer</v>
      </c>
      <c r="F46" s="635" t="str">
        <f>VLOOKUP(B46,Pesticide!$B$7:$AE$90,30,0)</f>
        <v>228.103.0050406</v>
      </c>
      <c r="G46" s="636">
        <f>VLOOKUP(B46,Pesticide!$B$7:$AE$90,28,0)</f>
        <v>26000</v>
      </c>
    </row>
    <row r="47" spans="1:7" s="357" customFormat="1" ht="22.5" customHeight="1">
      <c r="A47" s="631" t="s">
        <v>748</v>
      </c>
      <c r="B47" s="638" t="s">
        <v>1436</v>
      </c>
      <c r="C47" s="633" t="str">
        <f>VLOOKUP(B47,Pesticide!$B$7:$AE$104,2,0)</f>
        <v>M M Shariful Islam</v>
      </c>
      <c r="D47" s="634" t="str">
        <f>VLOOKUP(B47,Pesticide!$B$7:$AE$90,3,0)</f>
        <v>Sr. Territory Sales Officer</v>
      </c>
      <c r="E47" s="634" t="str">
        <f>VLOOKUP(B47,Pesticide!$B$7:$AE$90,4,0)</f>
        <v>Pesticide &amp; Fertilizer</v>
      </c>
      <c r="F47" s="635" t="str">
        <f>VLOOKUP(B47,Pesticide!$B$7:$AE$90,30,0)</f>
        <v>163.158.0011296</v>
      </c>
      <c r="G47" s="636">
        <f>VLOOKUP(B47,Pesticide!$B$7:$AE$90,28,0)</f>
        <v>24000</v>
      </c>
    </row>
    <row r="48" spans="1:7" s="357" customFormat="1" ht="22.5" customHeight="1">
      <c r="A48" s="631" t="s">
        <v>749</v>
      </c>
      <c r="B48" s="638" t="s">
        <v>1438</v>
      </c>
      <c r="C48" s="633" t="str">
        <f>VLOOKUP(B48,Pesticide!$B$7:$AE$104,2,0)</f>
        <v>Md. Monirul Islam</v>
      </c>
      <c r="D48" s="634" t="str">
        <f>VLOOKUP(B48,Pesticide!$B$7:$AE$90,3,0)</f>
        <v>Sr. Territory Sales Officer</v>
      </c>
      <c r="E48" s="634" t="str">
        <f>VLOOKUP(B48,Pesticide!$B$7:$AE$90,4,0)</f>
        <v>Pesticide &amp; Fertilizer</v>
      </c>
      <c r="F48" s="635" t="str">
        <f>VLOOKUP(B48,Pesticide!$B$7:$AE$90,30,0)</f>
        <v>162.103.0246088</v>
      </c>
      <c r="G48" s="636">
        <f>VLOOKUP(B48,Pesticide!$B$7:$AE$90,28,0)</f>
        <v>21825</v>
      </c>
    </row>
    <row r="49" spans="1:7" s="357" customFormat="1" ht="22.5" customHeight="1">
      <c r="A49" s="631" t="s">
        <v>750</v>
      </c>
      <c r="B49" s="638" t="s">
        <v>1440</v>
      </c>
      <c r="C49" s="633" t="str">
        <f>VLOOKUP(B49,Pesticide!$B$7:$AE$104,2,0)</f>
        <v>Md. Sagor Hossen</v>
      </c>
      <c r="D49" s="634" t="str">
        <f>VLOOKUP(B49,Pesticide!$B$7:$AE$90,3,0)</f>
        <v>Territory Sales Officer</v>
      </c>
      <c r="E49" s="634" t="str">
        <f>VLOOKUP(B49,Pesticide!$B$7:$AE$90,4,0)</f>
        <v>Pesticide &amp; Fertilizer</v>
      </c>
      <c r="F49" s="635" t="str">
        <f>VLOOKUP(B49,Pesticide!$B$7:$AE$90,30,0)</f>
        <v>163.103.0198643</v>
      </c>
      <c r="G49" s="636">
        <f>VLOOKUP(B49,Pesticide!$B$7:$AE$90,28,0)</f>
        <v>20000</v>
      </c>
    </row>
    <row r="50" spans="1:7" s="357" customFormat="1" ht="22.5" customHeight="1">
      <c r="A50" s="631" t="s">
        <v>751</v>
      </c>
      <c r="B50" s="638" t="s">
        <v>1442</v>
      </c>
      <c r="C50" s="633" t="str">
        <f>VLOOKUP(B50,Pesticide!$B$7:$AE$104,2,0)</f>
        <v>Milon Roy</v>
      </c>
      <c r="D50" s="634" t="str">
        <f>VLOOKUP(B50,Pesticide!$B$7:$AE$90,3,0)</f>
        <v>Territory Sales Officer</v>
      </c>
      <c r="E50" s="634" t="str">
        <f>VLOOKUP(B50,Pesticide!$B$7:$AE$90,4,0)</f>
        <v>Pesticide &amp; Fertilizer</v>
      </c>
      <c r="F50" s="635" t="str">
        <f>VLOOKUP(B50,Pesticide!$B$7:$AE$90,30,0)</f>
        <v>162.103.0246371</v>
      </c>
      <c r="G50" s="636">
        <f>VLOOKUP(B50,Pesticide!$B$7:$AE$90,28,0)</f>
        <v>18000</v>
      </c>
    </row>
    <row r="51" spans="1:7" s="357" customFormat="1" ht="22.5" customHeight="1">
      <c r="A51" s="631" t="s">
        <v>752</v>
      </c>
      <c r="B51" s="638" t="s">
        <v>1454</v>
      </c>
      <c r="C51" s="633" t="str">
        <f>VLOOKUP(B51,Pesticide!$B$7:$AE$104,2,0)</f>
        <v>Moniruzzman</v>
      </c>
      <c r="D51" s="634" t="str">
        <f>VLOOKUP(B51,Pesticide!$B$7:$AE$90,3,0)</f>
        <v>Territory Sales Officer</v>
      </c>
      <c r="E51" s="634" t="str">
        <f>VLOOKUP(B51,Pesticide!$B$7:$AE$90,4,0)</f>
        <v>Pesticide &amp; Fertilizer</v>
      </c>
      <c r="F51" s="635" t="str">
        <f>VLOOKUP(B51,Pesticide!$B$7:$AE$90,30,0)</f>
        <v>269.103.0015873</v>
      </c>
      <c r="G51" s="636">
        <f>VLOOKUP(B51,Pesticide!$B$7:$AE$90,28,0)</f>
        <v>20000</v>
      </c>
    </row>
    <row r="52" spans="1:7" s="357" customFormat="1" ht="22.5" customHeight="1">
      <c r="A52" s="631" t="s">
        <v>753</v>
      </c>
      <c r="B52" s="638" t="s">
        <v>1606</v>
      </c>
      <c r="C52" s="633" t="str">
        <f>VLOOKUP(B52,Pesticide!$B$7:$AE$104,2,0)</f>
        <v>Md Iqbal Hossen</v>
      </c>
      <c r="D52" s="634" t="str">
        <f>VLOOKUP(B52,Pesticide!$B$7:$AE$90,3,0)</f>
        <v>Sr. Territory Sales Officer</v>
      </c>
      <c r="E52" s="634" t="str">
        <f>VLOOKUP(B52,Pesticide!$B$7:$AE$90,4,0)</f>
        <v>Pesticide &amp; Fertilizer</v>
      </c>
      <c r="F52" s="635" t="str">
        <f>VLOOKUP(B52,Pesticide!$B$7:$AE$90,30,0)</f>
        <v>209.103.0043024</v>
      </c>
      <c r="G52" s="636">
        <f>VLOOKUP(B52,Pesticide!$B$7:$AE$90,28,0)</f>
        <v>27000</v>
      </c>
    </row>
    <row r="53" spans="1:7" s="357" customFormat="1" ht="22.5" customHeight="1">
      <c r="A53" s="631" t="s">
        <v>754</v>
      </c>
      <c r="B53" s="638" t="s">
        <v>1610</v>
      </c>
      <c r="C53" s="633" t="str">
        <f>VLOOKUP(B53,Pesticide!$B$7:$AE$104,2,0)</f>
        <v>Md. Abdul Hoque</v>
      </c>
      <c r="D53" s="634" t="str">
        <f>VLOOKUP(B53,Pesticide!$B$7:$AE$90,3,0)</f>
        <v>Sr. Territory Sales Officer</v>
      </c>
      <c r="E53" s="634" t="str">
        <f>VLOOKUP(B53,Pesticide!$B$7:$AE$90,4,0)</f>
        <v>Pesticide &amp; Fertilizer</v>
      </c>
      <c r="F53" s="635" t="str">
        <f>VLOOKUP(B53,Pesticide!$B$7:$AE$90,30,0)</f>
        <v>240.103.0023837</v>
      </c>
      <c r="G53" s="636">
        <f>VLOOKUP(B53,Pesticide!$B$7:$AE$90,28,0)</f>
        <v>26000</v>
      </c>
    </row>
    <row r="54" spans="1:7" s="357" customFormat="1" ht="22.5" customHeight="1">
      <c r="A54" s="631" t="s">
        <v>755</v>
      </c>
      <c r="B54" s="638" t="s">
        <v>1666</v>
      </c>
      <c r="C54" s="633" t="str">
        <f>VLOOKUP(B54,Pesticide!$B$7:$AE$104,2,0)</f>
        <v>Md Arif Ahmad</v>
      </c>
      <c r="D54" s="634" t="str">
        <f>VLOOKUP(B54,Pesticide!$B$7:$AE$90,3,0)</f>
        <v>Sr. Territory Sales Officer</v>
      </c>
      <c r="E54" s="634" t="str">
        <f>VLOOKUP(B54,Pesticide!$B$7:$AE$90,4,0)</f>
        <v>Pesticide &amp; Fertilizer</v>
      </c>
      <c r="F54" s="635" t="str">
        <f>VLOOKUP(B54,Pesticide!$B$7:$AE$90,30,0)</f>
        <v>206.103.0206850</v>
      </c>
      <c r="G54" s="636">
        <f>VLOOKUP(B54,Pesticide!$B$7:$AE$90,28,0)</f>
        <v>25000</v>
      </c>
    </row>
    <row r="55" spans="1:7" s="357" customFormat="1" ht="22.5" customHeight="1">
      <c r="A55" s="631" t="s">
        <v>756</v>
      </c>
      <c r="B55" s="638" t="s">
        <v>1810</v>
      </c>
      <c r="C55" s="633" t="str">
        <f>VLOOKUP(B55,Pesticide!$B$7:$AE$104,2,0)</f>
        <v>Md Anamul Hasan Bhuiyan</v>
      </c>
      <c r="D55" s="634" t="str">
        <f>VLOOKUP(B55,Pesticide!$B$7:$AE$90,3,0)</f>
        <v>Territory Sales Officer</v>
      </c>
      <c r="E55" s="634" t="str">
        <f>VLOOKUP(B55,Pesticide!$B$7:$AE$90,4,0)</f>
        <v>Pesticide &amp; Fertilizer</v>
      </c>
      <c r="F55" s="635" t="str">
        <f>VLOOKUP(B55,Pesticide!$B$7:$AE$90,30,0)</f>
        <v>147.158.0005102</v>
      </c>
      <c r="G55" s="636">
        <f>VLOOKUP(B55,Pesticide!$B$7:$AE$90,28,0)</f>
        <v>28000</v>
      </c>
    </row>
    <row r="56" spans="1:7" s="357" customFormat="1" ht="22.5" customHeight="1">
      <c r="A56" s="631" t="s">
        <v>757</v>
      </c>
      <c r="B56" s="638" t="s">
        <v>1164</v>
      </c>
      <c r="C56" s="633" t="str">
        <f>VLOOKUP(B56,Pesticide!$B$7:$AE$104,2,0)</f>
        <v>Md Ahsan Habib</v>
      </c>
      <c r="D56" s="634" t="str">
        <f>VLOOKUP(B56,Pesticide!$B$7:$AE$90,3,0)</f>
        <v>Office Assistant</v>
      </c>
      <c r="E56" s="634" t="str">
        <f>VLOOKUP(B56,Pesticide!$B$7:$AE$90,4,0)</f>
        <v>Pesticide</v>
      </c>
      <c r="F56" s="635" t="str">
        <f>VLOOKUP(B56,Pesticide!$B$7:$AE$90,30,0)</f>
        <v>125.158.0134414</v>
      </c>
      <c r="G56" s="636">
        <f>VLOOKUP(B56,Pesticide!$B$7:$AE$90,28,0)</f>
        <v>18000</v>
      </c>
    </row>
    <row r="57" spans="1:7" s="357" customFormat="1" ht="22.5" customHeight="1">
      <c r="A57" s="631" t="s">
        <v>758</v>
      </c>
      <c r="B57" s="638" t="s">
        <v>1170</v>
      </c>
      <c r="C57" s="633" t="str">
        <f>VLOOKUP(B57,Pesticide!$B$7:$AE$104,2,0)</f>
        <v>Md Rony Miya</v>
      </c>
      <c r="D57" s="634" t="str">
        <f>VLOOKUP(B57,Pesticide!$B$7:$AE$90,3,0)</f>
        <v>Office Assistant</v>
      </c>
      <c r="E57" s="634" t="str">
        <f>VLOOKUP(B57,Pesticide!$B$7:$AE$90,4,0)</f>
        <v>Pesticide</v>
      </c>
      <c r="F57" s="635" t="str">
        <f>VLOOKUP(B57,Pesticide!$B$7:$AE$90,30,0)</f>
        <v>125.158.0132974</v>
      </c>
      <c r="G57" s="636">
        <f>VLOOKUP(B57,Pesticide!$B$7:$AE$90,28,0)</f>
        <v>18000</v>
      </c>
    </row>
    <row r="58" spans="1:7" s="357" customFormat="1" ht="22.5" customHeight="1">
      <c r="A58" s="631" t="s">
        <v>759</v>
      </c>
      <c r="B58" s="638" t="s">
        <v>372</v>
      </c>
      <c r="C58" s="633" t="str">
        <f>VLOOKUP(B58,Pesticide!$B$7:$AE$104,2,0)</f>
        <v>Md. Shawkot Akbar Khan</v>
      </c>
      <c r="D58" s="634" t="str">
        <f>VLOOKUP(B58,Pesticide!$B$7:$AE$90,3,0)</f>
        <v>Officer In Charge</v>
      </c>
      <c r="E58" s="634" t="str">
        <f>VLOOKUP(B58,Pesticide!$B$7:$AE$90,4,0)</f>
        <v>Fertilizer</v>
      </c>
      <c r="F58" s="635" t="str">
        <f>VLOOKUP(B58,Pesticide!$B$7:$AE$90,30,0)</f>
        <v>163.103.0175073</v>
      </c>
      <c r="G58" s="636">
        <f>VLOOKUP(B58,Pesticide!$B$7:$AE$90,28,0)</f>
        <v>27160</v>
      </c>
    </row>
    <row r="59" spans="1:7" s="357" customFormat="1" ht="22.5" customHeight="1">
      <c r="A59" s="631" t="s">
        <v>760</v>
      </c>
      <c r="B59" s="638" t="s">
        <v>377</v>
      </c>
      <c r="C59" s="633" t="str">
        <f>VLOOKUP(B59,Pesticide!$B$7:$AE$104,2,0)</f>
        <v>Md. Nazim Uddin</v>
      </c>
      <c r="D59" s="634" t="str">
        <f>VLOOKUP(B59,Pesticide!$B$7:$AE$90,3,0)</f>
        <v>Store Officer</v>
      </c>
      <c r="E59" s="634" t="str">
        <f>VLOOKUP(B59,Pesticide!$B$7:$AE$90,4,0)</f>
        <v>Fertilizer</v>
      </c>
      <c r="F59" s="635" t="str">
        <f>VLOOKUP(B59,Pesticide!$B$7:$AE$90,30,0)</f>
        <v>163.158.0054637</v>
      </c>
      <c r="G59" s="636">
        <f>VLOOKUP(B59,Pesticide!$B$7:$AE$90,28,0)</f>
        <v>24250</v>
      </c>
    </row>
    <row r="60" spans="1:7" s="357" customFormat="1" ht="22.5" customHeight="1">
      <c r="A60" s="631" t="s">
        <v>761</v>
      </c>
      <c r="B60" s="638" t="s">
        <v>358</v>
      </c>
      <c r="C60" s="633" t="str">
        <f>VLOOKUP(B60,Pesticide!$B$7:$AE$104,2,0)</f>
        <v>Md. Shiful Islam</v>
      </c>
      <c r="D60" s="634" t="str">
        <f>VLOOKUP(B60,Pesticide!$B$7:$AE$90,3,0)</f>
        <v>Asst. Territory Manager</v>
      </c>
      <c r="E60" s="634" t="str">
        <f>VLOOKUP(B60,Pesticide!$B$7:$AE$90,4,0)</f>
        <v>Fertilizer</v>
      </c>
      <c r="F60" s="635" t="str">
        <f>VLOOKUP(B60,Pesticide!$B$7:$AE$90,30,0)</f>
        <v>106.157.0009890</v>
      </c>
      <c r="G60" s="636">
        <f>VLOOKUP(B60,Pesticide!$B$7:$AE$90,28,0)</f>
        <v>31525</v>
      </c>
    </row>
    <row r="61" spans="1:7" s="357" customFormat="1" ht="22.5" customHeight="1">
      <c r="A61" s="631" t="s">
        <v>762</v>
      </c>
      <c r="B61" s="638" t="s">
        <v>1446</v>
      </c>
      <c r="C61" s="633" t="str">
        <f>VLOOKUP(B61,Pesticide!$B$7:$AE$104,2,0)</f>
        <v>Md. Rofiqul Islam</v>
      </c>
      <c r="D61" s="634" t="str">
        <f>VLOOKUP(B61,Pesticide!$B$7:$AE$90,3,0)</f>
        <v>Logistic Officer</v>
      </c>
      <c r="E61" s="634" t="str">
        <f>VLOOKUP(B61,Pesticide!$B$7:$AE$90,4,0)</f>
        <v>Pesticide &amp; Fertilizer</v>
      </c>
      <c r="F61" s="635" t="str">
        <f>VLOOKUP(B61,Pesticide!$B$7:$AE$90,30,0)</f>
        <v>163.158.0125532</v>
      </c>
      <c r="G61" s="636">
        <f>VLOOKUP(B61,Pesticide!$B$7:$AE$90,28,0)</f>
        <v>18000</v>
      </c>
    </row>
    <row r="62" spans="1:7" s="357" customFormat="1" ht="22.5" customHeight="1">
      <c r="A62" s="631" t="s">
        <v>763</v>
      </c>
      <c r="B62" s="638" t="s">
        <v>523</v>
      </c>
      <c r="C62" s="633" t="str">
        <f>VLOOKUP(B62,Pesticide!$B$7:$AE$104,2,0)</f>
        <v>Golam Naser Zilany</v>
      </c>
      <c r="D62" s="634" t="str">
        <f>VLOOKUP(B62,Pesticide!$B$7:$AE$90,3,0)</f>
        <v>Asst. Manager</v>
      </c>
      <c r="E62" s="634" t="str">
        <f>VLOOKUP(B62,Pesticide!$B$7:$AE$90,4,0)</f>
        <v>Seeds</v>
      </c>
      <c r="F62" s="635" t="str">
        <f>VLOOKUP(B62,Pesticide!$B$7:$AE$90,30,0)</f>
        <v>103.103.1342095</v>
      </c>
      <c r="G62" s="636">
        <f>VLOOKUP(B62,Pesticide!$B$7:$AE$90,28,0)</f>
        <v>69423</v>
      </c>
    </row>
    <row r="63" spans="1:7" s="357" customFormat="1" ht="22.5" customHeight="1">
      <c r="A63" s="631" t="s">
        <v>764</v>
      </c>
      <c r="B63" s="638" t="s">
        <v>1229</v>
      </c>
      <c r="C63" s="633" t="str">
        <f>VLOOKUP(B63,Pesticide!$B$7:$AE$104,2,0)</f>
        <v>Md Abdul Alim</v>
      </c>
      <c r="D63" s="634" t="str">
        <f>VLOOKUP(B63,Pesticide!$B$7:$AE$90,3,0)</f>
        <v>Driver (Van)</v>
      </c>
      <c r="E63" s="634" t="str">
        <f>VLOOKUP(B63,Pesticide!$B$7:$AE$90,4,0)</f>
        <v>Transport</v>
      </c>
      <c r="F63" s="635" t="str">
        <f>VLOOKUP(B63,Pesticide!$B$7:$AE$90,30,0)</f>
        <v>162.103.0249854</v>
      </c>
      <c r="G63" s="636">
        <f>VLOOKUP(B63,Pesticide!$B$7:$AE$90,28,0)</f>
        <v>18500</v>
      </c>
    </row>
    <row r="64" spans="1:7" s="357" customFormat="1" ht="22.5" customHeight="1">
      <c r="A64" s="631" t="s">
        <v>765</v>
      </c>
      <c r="B64" s="638" t="s">
        <v>308</v>
      </c>
      <c r="C64" s="633" t="str">
        <f>VLOOKUP(B64,Pesticide!$B$7:$AE$104,2,0)</f>
        <v>Md. Shaazahan Ali</v>
      </c>
      <c r="D64" s="634" t="str">
        <f>VLOOKUP(B64,Pesticide!$B$7:$AE$90,3,0)</f>
        <v>Driver</v>
      </c>
      <c r="E64" s="634" t="str">
        <f>VLOOKUP(B64,Pesticide!$B$7:$AE$90,4,0)</f>
        <v>Transport</v>
      </c>
      <c r="F64" s="635" t="str">
        <f>VLOOKUP(B64,Pesticide!$B$7:$AE$90,30,0)</f>
        <v>103.103.1356825</v>
      </c>
      <c r="G64" s="636">
        <f>VLOOKUP(B64,Pesticide!$B$7:$AE$90,28,0)</f>
        <v>21340</v>
      </c>
    </row>
    <row r="65" spans="1:7" s="357" customFormat="1" ht="22.5" customHeight="1">
      <c r="A65" s="631" t="s">
        <v>766</v>
      </c>
      <c r="B65" s="638" t="s">
        <v>314</v>
      </c>
      <c r="C65" s="633" t="str">
        <f>VLOOKUP(B65,Pesticide!$B$7:$AE$104,2,0)</f>
        <v>Md. Mahmudul Hasan</v>
      </c>
      <c r="D65" s="634" t="str">
        <f>VLOOKUP(B65,Pesticide!$B$7:$AE$90,3,0)</f>
        <v>Driver</v>
      </c>
      <c r="E65" s="634" t="str">
        <f>VLOOKUP(B65,Pesticide!$B$7:$AE$90,4,0)</f>
        <v>Tranport</v>
      </c>
      <c r="F65" s="635" t="str">
        <f>VLOOKUP(B65,Pesticide!$B$7:$AE$90,30,0)</f>
        <v>282.103.0032386</v>
      </c>
      <c r="G65" s="636">
        <f>VLOOKUP(B65,Pesticide!$B$7:$AE$90,28,0)</f>
        <v>21340</v>
      </c>
    </row>
    <row r="66" spans="1:7" s="357" customFormat="1" ht="22.5" customHeight="1">
      <c r="A66" s="631" t="s">
        <v>767</v>
      </c>
      <c r="B66" s="638" t="s">
        <v>317</v>
      </c>
      <c r="C66" s="633" t="str">
        <f>VLOOKUP(B66,Pesticide!$B$7:$AE$104,2,0)</f>
        <v>Md. Akabbor Ali</v>
      </c>
      <c r="D66" s="634" t="str">
        <f>VLOOKUP(B66,Pesticide!$B$7:$AE$90,3,0)</f>
        <v>Driver</v>
      </c>
      <c r="E66" s="634" t="str">
        <f>VLOOKUP(B66,Pesticide!$B$7:$AE$90,4,0)</f>
        <v>Tranport</v>
      </c>
      <c r="F66" s="635" t="str">
        <f>VLOOKUP(B66,Pesticide!$B$7:$AE$90,30,0)</f>
        <v>125.158.0168332</v>
      </c>
      <c r="G66" s="636">
        <f>VLOOKUP(B66,Pesticide!$B$7:$AE$90,28,0)</f>
        <v>17460</v>
      </c>
    </row>
    <row r="67" spans="1:7" s="357" customFormat="1" ht="22.5" customHeight="1">
      <c r="A67" s="631" t="s">
        <v>768</v>
      </c>
      <c r="B67" s="638" t="s">
        <v>668</v>
      </c>
      <c r="C67" s="633" t="str">
        <f>VLOOKUP(B67,Pesticide!$B$7:$AE$104,2,0)</f>
        <v>Md Masud Ahmmed</v>
      </c>
      <c r="D67" s="634" t="str">
        <f>VLOOKUP(B67,Pesticide!$B$7:$AE$90,3,0)</f>
        <v>Driver</v>
      </c>
      <c r="E67" s="634" t="str">
        <f>VLOOKUP(B67,Pesticide!$B$7:$AE$90,4,0)</f>
        <v>Transport</v>
      </c>
      <c r="F67" s="635" t="str">
        <f>VLOOKUP(B67,Pesticide!$B$7:$AE$90,30,0)</f>
        <v>250.105.0059406</v>
      </c>
      <c r="G67" s="636">
        <f>VLOOKUP(B67,Pesticide!$B$7:$AE$90,28,0)</f>
        <v>19400</v>
      </c>
    </row>
    <row r="68" spans="1:7" s="357" customFormat="1" ht="24" customHeight="1">
      <c r="A68" s="631" t="s">
        <v>769</v>
      </c>
      <c r="B68" s="638" t="s">
        <v>698</v>
      </c>
      <c r="C68" s="633" t="str">
        <f>VLOOKUP(B68,Pesticide!$B$7:$AE$104,2,0)</f>
        <v>Md Rubel Molla</v>
      </c>
      <c r="D68" s="634" t="str">
        <f>VLOOKUP(B68,Pesticide!$B$7:$AE$90,3,0)</f>
        <v>Driver</v>
      </c>
      <c r="E68" s="634" t="str">
        <f>VLOOKUP(B68,Pesticide!$B$7:$AE$90,4,0)</f>
        <v>Transport</v>
      </c>
      <c r="F68" s="635" t="str">
        <f>VLOOKUP(B68,Pesticide!$B$7:$AE$90,30,0)</f>
        <v>103.103.1357817</v>
      </c>
      <c r="G68" s="636">
        <f>VLOOKUP(B68,Pesticide!$B$7:$AE$90,28,0)</f>
        <v>19400</v>
      </c>
    </row>
    <row r="69" spans="1:7" s="357" customFormat="1" ht="21.75" customHeight="1">
      <c r="A69" s="1202" t="s">
        <v>421</v>
      </c>
      <c r="B69" s="1202"/>
      <c r="C69" s="1202"/>
      <c r="D69" s="1202"/>
      <c r="E69" s="1202"/>
      <c r="F69" s="612" t="s">
        <v>1621</v>
      </c>
      <c r="G69" s="610">
        <f>SUM(G7:G68)</f>
        <v>1820823</v>
      </c>
    </row>
  </sheetData>
  <mergeCells count="2">
    <mergeCell ref="A69:E69"/>
    <mergeCell ref="A4:G4"/>
  </mergeCells>
  <conditionalFormatting sqref="B1:B3 B5:B1048576">
    <cfRule type="duplicateValues" dxfId="11" priority="7"/>
  </conditionalFormatting>
  <conditionalFormatting sqref="B1:B1048576">
    <cfRule type="duplicateValues" dxfId="10" priority="1"/>
  </conditionalFormatting>
  <conditionalFormatting sqref="B5:B1048576 B1:B3">
    <cfRule type="duplicateValues" dxfId="9" priority="3"/>
  </conditionalFormatting>
  <conditionalFormatting sqref="B7">
    <cfRule type="duplicateValues" dxfId="8" priority="6"/>
  </conditionalFormatting>
  <conditionalFormatting sqref="B8:B68">
    <cfRule type="duplicateValues" dxfId="7" priority="2375"/>
  </conditionalFormatting>
  <conditionalFormatting sqref="B69:B1048576 B1:B3 B5:B6">
    <cfRule type="duplicateValues" dxfId="6" priority="5"/>
  </conditionalFormatting>
  <conditionalFormatting sqref="B69:B1048576">
    <cfRule type="duplicateValues" dxfId="5" priority="4"/>
  </conditionalFormatting>
  <conditionalFormatting sqref="F1:F1048576">
    <cfRule type="duplicateValues" dxfId="4" priority="2"/>
  </conditionalFormatting>
  <printOptions horizontalCentered="1"/>
  <pageMargins left="0.51181102362204722" right="0.19685039370078741" top="1.1023622047244095" bottom="0.78740157480314965" header="0" footer="0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39997558519241921"/>
  </sheetPr>
  <dimension ref="A1:AQ419"/>
  <sheetViews>
    <sheetView tabSelected="1" view="pageBreakPreview" zoomScale="115" zoomScaleNormal="85" zoomScaleSheetLayoutView="115" zoomScalePageLayoutView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382" sqref="A382"/>
    </sheetView>
  </sheetViews>
  <sheetFormatPr defaultColWidth="9.140625" defaultRowHeight="12.75"/>
  <cols>
    <col min="1" max="1" width="7.7109375" style="156" customWidth="1"/>
    <col min="2" max="2" width="13.42578125" style="778" customWidth="1"/>
    <col min="3" max="3" width="21.7109375" style="165" customWidth="1"/>
    <col min="4" max="4" width="16.7109375" style="158" customWidth="1"/>
    <col min="5" max="5" width="12.140625" style="158" customWidth="1"/>
    <col min="6" max="6" width="10.140625" style="535" customWidth="1"/>
    <col min="7" max="7" width="7.28515625" style="159" customWidth="1"/>
    <col min="8" max="8" width="5.5703125" style="160" customWidth="1"/>
    <col min="9" max="9" width="5.7109375" style="157" customWidth="1"/>
    <col min="10" max="10" width="8.140625" style="160" customWidth="1"/>
    <col min="11" max="11" width="10.7109375" style="160" customWidth="1"/>
    <col min="12" max="12" width="10.85546875" style="161" customWidth="1"/>
    <col min="13" max="13" width="11" style="161" customWidth="1"/>
    <col min="14" max="15" width="8.5703125" style="161" customWidth="1"/>
    <col min="16" max="16" width="7.28515625" style="161" customWidth="1"/>
    <col min="17" max="17" width="10.140625" style="162" customWidth="1"/>
    <col min="18" max="18" width="10.28515625" style="163" customWidth="1"/>
    <col min="19" max="19" width="7.5703125" style="157" customWidth="1"/>
    <col min="20" max="20" width="7.7109375" style="156" customWidth="1"/>
    <col min="21" max="21" width="8.7109375" style="157" customWidth="1"/>
    <col min="22" max="22" width="10" style="163" customWidth="1"/>
    <col min="23" max="23" width="7.7109375" style="165" customWidth="1"/>
    <col min="24" max="24" width="9.28515625" style="157" customWidth="1"/>
    <col min="25" max="25" width="8.5703125" style="160" customWidth="1"/>
    <col min="26" max="27" width="8.140625" style="159" customWidth="1"/>
    <col min="28" max="28" width="7.85546875" style="156" customWidth="1"/>
    <col min="29" max="29" width="10.28515625" style="156" customWidth="1"/>
    <col min="30" max="30" width="6.28515625" style="156" customWidth="1"/>
    <col min="31" max="31" width="15" style="156" customWidth="1"/>
    <col min="32" max="32" width="15" style="844" customWidth="1"/>
    <col min="33" max="33" width="15" style="156" customWidth="1"/>
    <col min="34" max="34" width="16.42578125" style="160" customWidth="1"/>
    <col min="35" max="35" width="19.140625" style="157" customWidth="1"/>
    <col min="36" max="36" width="10.85546875" style="553" customWidth="1"/>
    <col min="37" max="37" width="18.140625" style="553" customWidth="1"/>
    <col min="38" max="38" width="17.42578125" style="157" customWidth="1"/>
    <col min="39" max="39" width="23" style="325" customWidth="1"/>
    <col min="40" max="16384" width="9.140625" style="157"/>
  </cols>
  <sheetData>
    <row r="1" spans="1:43" s="26" customFormat="1" ht="20.100000000000001" customHeight="1">
      <c r="A1" s="1157" t="str">
        <f>'Summary-Unit'!A1:U1</f>
        <v>SQ Trading &amp; Engineering - FMD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  <c r="O1" s="1157"/>
      <c r="P1" s="1157"/>
      <c r="Q1" s="1157"/>
      <c r="R1" s="1157"/>
      <c r="S1" s="1157"/>
      <c r="T1" s="1157"/>
      <c r="U1" s="1157"/>
      <c r="V1" s="1157"/>
      <c r="W1" s="1157"/>
      <c r="X1" s="1157"/>
      <c r="Y1" s="1157"/>
      <c r="Z1" s="1157"/>
      <c r="AA1" s="1157"/>
      <c r="AB1" s="1157"/>
      <c r="AC1" s="1157"/>
      <c r="AD1" s="1157"/>
      <c r="AE1" s="1157"/>
      <c r="AF1" s="834"/>
      <c r="AG1" s="784"/>
      <c r="AH1" s="463"/>
      <c r="AJ1" s="544"/>
      <c r="AK1" s="544"/>
      <c r="AM1" s="316"/>
    </row>
    <row r="2" spans="1:43" s="26" customFormat="1" ht="24.95" customHeight="1">
      <c r="A2" s="1156" t="s">
        <v>1</v>
      </c>
      <c r="B2" s="1156"/>
      <c r="C2" s="1156"/>
      <c r="D2" s="1156"/>
      <c r="E2" s="1156"/>
      <c r="F2" s="1156"/>
      <c r="G2" s="1156"/>
      <c r="H2" s="1156"/>
      <c r="I2" s="1156"/>
      <c r="J2" s="1156"/>
      <c r="K2" s="1156"/>
      <c r="L2" s="1156"/>
      <c r="M2" s="1156"/>
      <c r="N2" s="1156"/>
      <c r="O2" s="1156"/>
      <c r="P2" s="1156"/>
      <c r="Q2" s="1156"/>
      <c r="R2" s="1156"/>
      <c r="S2" s="1156"/>
      <c r="T2" s="1156"/>
      <c r="U2" s="1156"/>
      <c r="V2" s="1156"/>
      <c r="W2" s="1156"/>
      <c r="X2" s="1156"/>
      <c r="Y2" s="1156"/>
      <c r="Z2" s="1156"/>
      <c r="AA2" s="1156"/>
      <c r="AB2" s="1156"/>
      <c r="AC2" s="1156"/>
      <c r="AD2" s="1156"/>
      <c r="AE2" s="1156"/>
      <c r="AF2" s="1107"/>
      <c r="AG2" s="1107"/>
      <c r="AH2" s="1107"/>
      <c r="AJ2" s="544"/>
      <c r="AK2" s="544"/>
    </row>
    <row r="3" spans="1:43" s="26" customFormat="1" ht="21.75" customHeight="1">
      <c r="A3" s="1158" t="s">
        <v>1829</v>
      </c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E3" s="1158"/>
      <c r="AF3" s="835"/>
      <c r="AG3" s="785"/>
      <c r="AH3" s="485" t="s">
        <v>1904</v>
      </c>
      <c r="AJ3" s="544"/>
      <c r="AK3" s="544"/>
    </row>
    <row r="4" spans="1:43" s="26" customFormat="1" ht="15" customHeight="1">
      <c r="A4" s="27"/>
      <c r="B4" s="27"/>
      <c r="C4" s="27"/>
      <c r="D4" s="28"/>
      <c r="E4" s="496"/>
      <c r="F4" s="524"/>
      <c r="G4" s="27"/>
      <c r="H4" s="246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46"/>
      <c r="Z4" s="246"/>
      <c r="AA4" s="246"/>
      <c r="AB4" s="27"/>
      <c r="AC4" s="27"/>
      <c r="AD4" s="27"/>
      <c r="AE4" s="29" t="s">
        <v>2</v>
      </c>
      <c r="AF4" s="836"/>
      <c r="AG4" s="29"/>
      <c r="AH4" s="542">
        <v>45657</v>
      </c>
      <c r="AJ4" s="544"/>
      <c r="AK4" s="544"/>
      <c r="AM4" s="316"/>
    </row>
    <row r="5" spans="1:43" s="30" customFormat="1" ht="19.5" customHeight="1">
      <c r="A5" s="1159" t="s">
        <v>3</v>
      </c>
      <c r="B5" s="1160" t="s">
        <v>30</v>
      </c>
      <c r="C5" s="1160" t="s">
        <v>31</v>
      </c>
      <c r="D5" s="1160" t="s">
        <v>32</v>
      </c>
      <c r="E5" s="1160" t="s">
        <v>503</v>
      </c>
      <c r="F5" s="1161" t="s">
        <v>34</v>
      </c>
      <c r="G5" s="1162" t="s">
        <v>35</v>
      </c>
      <c r="H5" s="1162" t="s">
        <v>36</v>
      </c>
      <c r="I5" s="1162" t="s">
        <v>37</v>
      </c>
      <c r="J5" s="1162" t="s">
        <v>38</v>
      </c>
      <c r="K5" s="1147" t="s">
        <v>7</v>
      </c>
      <c r="L5" s="1163" t="s">
        <v>39</v>
      </c>
      <c r="M5" s="1163"/>
      <c r="N5" s="1163"/>
      <c r="O5" s="1163"/>
      <c r="P5" s="1163"/>
      <c r="Q5" s="1149" t="s">
        <v>7</v>
      </c>
      <c r="R5" s="1149" t="s">
        <v>8</v>
      </c>
      <c r="S5" s="1150" t="s">
        <v>9</v>
      </c>
      <c r="T5" s="1150"/>
      <c r="U5" s="1150"/>
      <c r="V5" s="1151" t="s">
        <v>40</v>
      </c>
      <c r="W5" s="1153" t="s">
        <v>10</v>
      </c>
      <c r="X5" s="1154"/>
      <c r="Y5" s="1154"/>
      <c r="Z5" s="1154"/>
      <c r="AA5" s="1155"/>
      <c r="AB5" s="1151" t="s">
        <v>11</v>
      </c>
      <c r="AC5" s="1152" t="s">
        <v>41</v>
      </c>
      <c r="AD5" s="1146" t="s">
        <v>42</v>
      </c>
      <c r="AE5" s="1164" t="s">
        <v>43</v>
      </c>
      <c r="AF5" s="837"/>
      <c r="AG5" s="795"/>
      <c r="AH5" s="464"/>
      <c r="AJ5" s="545"/>
      <c r="AK5" s="545"/>
      <c r="AM5" s="317"/>
    </row>
    <row r="6" spans="1:43" s="272" customFormat="1" ht="80.25" customHeight="1">
      <c r="A6" s="1159"/>
      <c r="B6" s="1160"/>
      <c r="C6" s="1160"/>
      <c r="D6" s="1160"/>
      <c r="E6" s="1160"/>
      <c r="F6" s="1161"/>
      <c r="G6" s="1162"/>
      <c r="H6" s="1162"/>
      <c r="I6" s="1162"/>
      <c r="J6" s="1162"/>
      <c r="K6" s="1148"/>
      <c r="L6" s="1027" t="s">
        <v>13</v>
      </c>
      <c r="M6" s="1027" t="s">
        <v>14</v>
      </c>
      <c r="N6" s="1028" t="s">
        <v>15</v>
      </c>
      <c r="O6" s="1028" t="s">
        <v>16</v>
      </c>
      <c r="P6" s="1028" t="s">
        <v>17</v>
      </c>
      <c r="Q6" s="1149"/>
      <c r="R6" s="1149"/>
      <c r="S6" s="1029" t="s">
        <v>18</v>
      </c>
      <c r="T6" s="1029" t="s">
        <v>19</v>
      </c>
      <c r="U6" s="1029" t="s">
        <v>1622</v>
      </c>
      <c r="V6" s="1151"/>
      <c r="W6" s="1029" t="s">
        <v>21</v>
      </c>
      <c r="X6" s="1029" t="s">
        <v>585</v>
      </c>
      <c r="Y6" s="1030" t="s">
        <v>1249</v>
      </c>
      <c r="Z6" s="1030" t="s">
        <v>536</v>
      </c>
      <c r="AA6" s="1030" t="s">
        <v>951</v>
      </c>
      <c r="AB6" s="1151"/>
      <c r="AC6" s="1152"/>
      <c r="AD6" s="1146"/>
      <c r="AE6" s="1164"/>
      <c r="AF6" s="845"/>
      <c r="AG6" s="795"/>
      <c r="AH6" s="465"/>
      <c r="AJ6" s="546"/>
      <c r="AK6" s="546"/>
      <c r="AM6" s="318"/>
    </row>
    <row r="7" spans="1:43" s="47" customFormat="1" ht="24.95" customHeight="1">
      <c r="A7" s="32" t="s">
        <v>836</v>
      </c>
      <c r="B7" s="33"/>
      <c r="C7" s="34"/>
      <c r="D7" s="34"/>
      <c r="E7" s="34"/>
      <c r="F7" s="525"/>
      <c r="G7" s="37"/>
      <c r="H7" s="37"/>
      <c r="I7" s="38"/>
      <c r="J7" s="37"/>
      <c r="K7" s="37"/>
      <c r="L7" s="39"/>
      <c r="M7" s="39"/>
      <c r="N7" s="39"/>
      <c r="O7" s="39"/>
      <c r="P7" s="39"/>
      <c r="Q7" s="40"/>
      <c r="R7" s="40"/>
      <c r="S7" s="41"/>
      <c r="T7" s="41"/>
      <c r="U7" s="42"/>
      <c r="V7" s="43"/>
      <c r="W7" s="41"/>
      <c r="X7" s="44"/>
      <c r="Y7" s="41"/>
      <c r="Z7" s="41"/>
      <c r="AA7" s="41"/>
      <c r="AB7" s="45"/>
      <c r="AC7" s="45"/>
      <c r="AD7" s="46"/>
      <c r="AE7" s="46"/>
      <c r="AF7" s="838"/>
      <c r="AG7" s="613"/>
      <c r="AH7" s="462"/>
      <c r="AJ7" s="547"/>
      <c r="AK7" s="547"/>
      <c r="AM7" s="319"/>
    </row>
    <row r="8" spans="1:43" s="61" customFormat="1" ht="33" customHeight="1">
      <c r="A8" s="501">
        <v>1</v>
      </c>
      <c r="B8" s="502" t="s">
        <v>45</v>
      </c>
      <c r="C8" s="507" t="s">
        <v>46</v>
      </c>
      <c r="D8" s="330" t="str">
        <f>VLOOKUP(B8,Attendance!$B$6:$D$385,3,0)</f>
        <v>Assistant Manager</v>
      </c>
      <c r="E8" s="330" t="s">
        <v>47</v>
      </c>
      <c r="F8" s="522">
        <v>44566</v>
      </c>
      <c r="G8" s="286">
        <f>VLOOKUP(B8,Attendance!$B$6:$G$386,6,0)</f>
        <v>31</v>
      </c>
      <c r="H8" s="332">
        <f>VLOOKUP(B$8:B$380,Attendance!$B$6:$L$385,11,0)</f>
        <v>0</v>
      </c>
      <c r="I8" s="286">
        <f t="shared" ref="I8:I22" si="0">G8-H8</f>
        <v>31</v>
      </c>
      <c r="J8" s="332">
        <f t="shared" ref="J8:J22" si="1">Q8/G8</f>
        <v>1935.483870967742</v>
      </c>
      <c r="K8" s="58">
        <v>60000</v>
      </c>
      <c r="L8" s="58">
        <f t="shared" ref="L8:L22" si="2">K8*60%</f>
        <v>36000</v>
      </c>
      <c r="M8" s="58">
        <f t="shared" ref="M8:M22" si="3">K8*30%</f>
        <v>18000</v>
      </c>
      <c r="N8" s="58">
        <f t="shared" ref="N8:N22" si="4">K8*6%</f>
        <v>3600</v>
      </c>
      <c r="O8" s="58">
        <f t="shared" ref="O8:O22" si="5">K8*4%</f>
        <v>2400</v>
      </c>
      <c r="P8" s="333">
        <v>0</v>
      </c>
      <c r="Q8" s="334">
        <f t="shared" ref="Q8:Q22" si="6">SUM(L8:P8)</f>
        <v>60000</v>
      </c>
      <c r="R8" s="334">
        <f t="shared" ref="R8:R22" si="7">ROUND(I8*J8,)</f>
        <v>60000</v>
      </c>
      <c r="S8" s="393"/>
      <c r="T8" s="393"/>
      <c r="U8" s="783"/>
      <c r="V8" s="335">
        <f t="shared" ref="V8:V22" si="8">SUM(R8:U8)</f>
        <v>60000</v>
      </c>
      <c r="W8" s="58">
        <v>417</v>
      </c>
      <c r="X8" s="261">
        <f>IFERROR(VLOOKUP(B8,'Lunch bill'!$B$6:$H$30,7,0),0)</f>
        <v>0</v>
      </c>
      <c r="Y8" s="261">
        <f t="shared" ref="Y8:Y22" si="9">ROUND(IF($AH$4-F8&gt;=360,L8*5%,0),0)</f>
        <v>1800</v>
      </c>
      <c r="Z8" s="261">
        <f>IFERROR(VLOOKUP(B8,'55 Bike '!$B$7:$J$139,9,0),0)</f>
        <v>0</v>
      </c>
      <c r="AA8" s="337"/>
      <c r="AB8" s="59">
        <f t="shared" ref="AB8:AB22" si="10">SUM(W8:AA8)</f>
        <v>2217</v>
      </c>
      <c r="AC8" s="59">
        <f t="shared" ref="AC8:AC22" si="11">ROUND(V8-AB8,0)</f>
        <v>57783</v>
      </c>
      <c r="AD8" s="504" t="s">
        <v>23</v>
      </c>
      <c r="AE8" s="331" t="s">
        <v>48</v>
      </c>
      <c r="AF8" s="838"/>
      <c r="AG8" s="205"/>
      <c r="AH8" s="383"/>
      <c r="AI8" s="543"/>
      <c r="AJ8" s="548"/>
      <c r="AK8" s="548"/>
      <c r="AL8" s="198"/>
      <c r="AM8" s="320"/>
      <c r="AP8" s="198"/>
    </row>
    <row r="9" spans="1:43" s="61" customFormat="1" ht="24.95" customHeight="1">
      <c r="A9" s="253">
        <v>2</v>
      </c>
      <c r="B9" s="254" t="s">
        <v>49</v>
      </c>
      <c r="C9" s="255" t="s">
        <v>50</v>
      </c>
      <c r="D9" s="278" t="str">
        <f>VLOOKUP(B9,Attendance!$B$6:$D$385,3,0)</f>
        <v>Assistant Manager</v>
      </c>
      <c r="E9" s="278" t="s">
        <v>47</v>
      </c>
      <c r="F9" s="523">
        <v>44713</v>
      </c>
      <c r="G9" s="257">
        <f>VLOOKUP(B9,Attendance!$B$6:$G$386,6,0)</f>
        <v>31</v>
      </c>
      <c r="H9" s="258">
        <f>VLOOKUP(B$8:B$380,Attendance!$B$6:$L$386,11,0)</f>
        <v>0</v>
      </c>
      <c r="I9" s="257">
        <f t="shared" si="0"/>
        <v>31</v>
      </c>
      <c r="J9" s="258">
        <f t="shared" si="1"/>
        <v>1774.1935483870968</v>
      </c>
      <c r="K9" s="72">
        <v>55000</v>
      </c>
      <c r="L9" s="72">
        <f t="shared" si="2"/>
        <v>33000</v>
      </c>
      <c r="M9" s="72">
        <f t="shared" si="3"/>
        <v>16500</v>
      </c>
      <c r="N9" s="72">
        <f t="shared" si="4"/>
        <v>3300</v>
      </c>
      <c r="O9" s="72">
        <f t="shared" si="5"/>
        <v>2200</v>
      </c>
      <c r="P9" s="259"/>
      <c r="Q9" s="260">
        <f t="shared" si="6"/>
        <v>55000</v>
      </c>
      <c r="R9" s="260">
        <f t="shared" si="7"/>
        <v>55000</v>
      </c>
      <c r="S9" s="261"/>
      <c r="T9" s="261"/>
      <c r="U9" s="262"/>
      <c r="V9" s="263">
        <f t="shared" si="8"/>
        <v>55000</v>
      </c>
      <c r="W9" s="72">
        <v>417</v>
      </c>
      <c r="X9" s="261">
        <f>IFERROR(VLOOKUP(B9,'Lunch bill'!$B$6:$H$30,7,0),0)</f>
        <v>1950</v>
      </c>
      <c r="Y9" s="261">
        <f t="shared" si="9"/>
        <v>1650</v>
      </c>
      <c r="Z9" s="261">
        <f>IFERROR(VLOOKUP(B9,'55 Bike '!$B$7:$J$139,9,0),0)</f>
        <v>0</v>
      </c>
      <c r="AA9" s="261"/>
      <c r="AB9" s="73">
        <f t="shared" si="10"/>
        <v>4017</v>
      </c>
      <c r="AC9" s="73">
        <f t="shared" si="11"/>
        <v>50983</v>
      </c>
      <c r="AD9" s="264" t="s">
        <v>23</v>
      </c>
      <c r="AE9" s="256" t="s">
        <v>51</v>
      </c>
      <c r="AF9" s="838"/>
      <c r="AG9" s="205"/>
      <c r="AH9" s="383"/>
      <c r="AI9" s="543"/>
      <c r="AJ9" s="548"/>
      <c r="AK9" s="548"/>
      <c r="AL9" s="198"/>
      <c r="AM9" s="320"/>
      <c r="AP9" s="198"/>
    </row>
    <row r="10" spans="1:43" s="61" customFormat="1" ht="24.95" customHeight="1">
      <c r="A10" s="253">
        <v>3</v>
      </c>
      <c r="B10" s="254" t="s">
        <v>52</v>
      </c>
      <c r="C10" s="255" t="s">
        <v>53</v>
      </c>
      <c r="D10" s="278" t="str">
        <f>VLOOKUP(B10,Attendance!$B$6:$D$385,3,0)</f>
        <v>Accountant</v>
      </c>
      <c r="E10" s="278" t="s">
        <v>47</v>
      </c>
      <c r="F10" s="523">
        <v>44661</v>
      </c>
      <c r="G10" s="257">
        <f>VLOOKUP(B10,Attendance!$B$6:$G$386,6,0)</f>
        <v>31</v>
      </c>
      <c r="H10" s="258">
        <f>VLOOKUP(B$8:B$380,Attendance!$B$6:$L$386,11,0)</f>
        <v>0</v>
      </c>
      <c r="I10" s="257">
        <f t="shared" si="0"/>
        <v>31</v>
      </c>
      <c r="J10" s="258">
        <f t="shared" si="1"/>
        <v>1000</v>
      </c>
      <c r="K10" s="72">
        <v>31000</v>
      </c>
      <c r="L10" s="72">
        <f t="shared" si="2"/>
        <v>18600</v>
      </c>
      <c r="M10" s="72">
        <f t="shared" si="3"/>
        <v>9300</v>
      </c>
      <c r="N10" s="72">
        <f t="shared" si="4"/>
        <v>1860</v>
      </c>
      <c r="O10" s="72">
        <f t="shared" si="5"/>
        <v>1240</v>
      </c>
      <c r="P10" s="259">
        <v>0</v>
      </c>
      <c r="Q10" s="260">
        <f t="shared" si="6"/>
        <v>31000</v>
      </c>
      <c r="R10" s="260">
        <f t="shared" si="7"/>
        <v>31000</v>
      </c>
      <c r="S10" s="261"/>
      <c r="T10" s="261"/>
      <c r="U10" s="262"/>
      <c r="V10" s="263">
        <f t="shared" si="8"/>
        <v>31000</v>
      </c>
      <c r="W10" s="72">
        <v>0</v>
      </c>
      <c r="X10" s="261">
        <f>IFERROR(VLOOKUP(B10,'Lunch bill'!$B$6:$H$30,7,0),0)</f>
        <v>0</v>
      </c>
      <c r="Y10" s="261">
        <f t="shared" si="9"/>
        <v>930</v>
      </c>
      <c r="Z10" s="261">
        <f>IFERROR(VLOOKUP(B10,'55 Bike '!$B$7:$J$139,9,0),0)</f>
        <v>0</v>
      </c>
      <c r="AA10" s="261"/>
      <c r="AB10" s="73">
        <f t="shared" si="10"/>
        <v>930</v>
      </c>
      <c r="AC10" s="73">
        <f t="shared" si="11"/>
        <v>30070</v>
      </c>
      <c r="AD10" s="264" t="s">
        <v>23</v>
      </c>
      <c r="AE10" s="256" t="s">
        <v>54</v>
      </c>
      <c r="AF10" s="838"/>
      <c r="AG10" s="205"/>
      <c r="AH10" s="383"/>
      <c r="AI10" s="543"/>
      <c r="AJ10" s="548"/>
      <c r="AK10" s="548"/>
      <c r="AL10" s="198"/>
      <c r="AM10" s="320"/>
      <c r="AP10" s="198"/>
    </row>
    <row r="11" spans="1:43" s="61" customFormat="1" ht="24.95" customHeight="1">
      <c r="A11" s="253">
        <v>4</v>
      </c>
      <c r="B11" s="254" t="s">
        <v>58</v>
      </c>
      <c r="C11" s="255" t="s">
        <v>59</v>
      </c>
      <c r="D11" s="278" t="str">
        <f>VLOOKUP(B11,Attendance!$B$6:$D$385,3,0)</f>
        <v>Finance officer</v>
      </c>
      <c r="E11" s="278" t="s">
        <v>47</v>
      </c>
      <c r="F11" s="523">
        <v>44744</v>
      </c>
      <c r="G11" s="257">
        <f>VLOOKUP(B11,Attendance!$B$6:$G$386,6,0)</f>
        <v>31</v>
      </c>
      <c r="H11" s="258">
        <f>VLOOKUP(B$8:B$380,Attendance!$B$6:$L$386,11,0)</f>
        <v>0</v>
      </c>
      <c r="I11" s="257">
        <f t="shared" si="0"/>
        <v>31</v>
      </c>
      <c r="J11" s="258">
        <f t="shared" si="1"/>
        <v>1129.0322580645161</v>
      </c>
      <c r="K11" s="72">
        <v>35000</v>
      </c>
      <c r="L11" s="72">
        <f t="shared" si="2"/>
        <v>21000</v>
      </c>
      <c r="M11" s="72">
        <f t="shared" si="3"/>
        <v>10500</v>
      </c>
      <c r="N11" s="72">
        <f t="shared" si="4"/>
        <v>2100</v>
      </c>
      <c r="O11" s="72">
        <f t="shared" si="5"/>
        <v>1400</v>
      </c>
      <c r="P11" s="259"/>
      <c r="Q11" s="260">
        <f t="shared" si="6"/>
        <v>35000</v>
      </c>
      <c r="R11" s="260">
        <f t="shared" si="7"/>
        <v>35000</v>
      </c>
      <c r="S11" s="261"/>
      <c r="T11" s="261"/>
      <c r="U11" s="262"/>
      <c r="V11" s="263">
        <f t="shared" si="8"/>
        <v>35000</v>
      </c>
      <c r="W11" s="72"/>
      <c r="X11" s="261">
        <f>IFERROR(VLOOKUP(B11,'Lunch bill'!$B$6:$H$30,7,0),0)</f>
        <v>1875</v>
      </c>
      <c r="Y11" s="261">
        <f t="shared" si="9"/>
        <v>1050</v>
      </c>
      <c r="Z11" s="261">
        <f>IFERROR(VLOOKUP(B11,'55 Bike '!$B$7:$J$139,9,0),0)</f>
        <v>0</v>
      </c>
      <c r="AA11" s="261"/>
      <c r="AB11" s="73">
        <f t="shared" si="10"/>
        <v>2925</v>
      </c>
      <c r="AC11" s="73">
        <f t="shared" si="11"/>
        <v>32075</v>
      </c>
      <c r="AD11" s="264" t="s">
        <v>23</v>
      </c>
      <c r="AE11" s="256" t="s">
        <v>60</v>
      </c>
      <c r="AF11" s="838"/>
      <c r="AG11" s="205"/>
      <c r="AH11" s="383"/>
      <c r="AI11" s="543"/>
      <c r="AJ11" s="548"/>
      <c r="AK11" s="548"/>
      <c r="AL11" s="198"/>
      <c r="AM11" s="320"/>
      <c r="AP11" s="198"/>
    </row>
    <row r="12" spans="1:43" s="47" customFormat="1" ht="24.95" customHeight="1">
      <c r="A12" s="253">
        <v>5</v>
      </c>
      <c r="B12" s="254" t="s">
        <v>55</v>
      </c>
      <c r="C12" s="255" t="s">
        <v>56</v>
      </c>
      <c r="D12" s="278" t="str">
        <f>VLOOKUP(B12,Attendance!$B$6:$D$385,3,0)</f>
        <v>Executive Accounts</v>
      </c>
      <c r="E12" s="278" t="s">
        <v>717</v>
      </c>
      <c r="F12" s="523">
        <v>44495</v>
      </c>
      <c r="G12" s="257">
        <f>VLOOKUP(B12,Attendance!$B$6:$G$386,6,0)</f>
        <v>31</v>
      </c>
      <c r="H12" s="258">
        <f>VLOOKUP(B$8:B$380,Attendance!$B$6:$L$386,11,0)</f>
        <v>0</v>
      </c>
      <c r="I12" s="257">
        <f t="shared" si="0"/>
        <v>31</v>
      </c>
      <c r="J12" s="258">
        <f t="shared" si="1"/>
        <v>1061.2903225806451</v>
      </c>
      <c r="K12" s="72">
        <v>32900</v>
      </c>
      <c r="L12" s="72">
        <f t="shared" si="2"/>
        <v>19740</v>
      </c>
      <c r="M12" s="72">
        <f t="shared" si="3"/>
        <v>9870</v>
      </c>
      <c r="N12" s="72">
        <f t="shared" si="4"/>
        <v>1974</v>
      </c>
      <c r="O12" s="72">
        <f t="shared" si="5"/>
        <v>1316</v>
      </c>
      <c r="P12" s="259">
        <v>0</v>
      </c>
      <c r="Q12" s="260">
        <f t="shared" si="6"/>
        <v>32900</v>
      </c>
      <c r="R12" s="260">
        <f t="shared" si="7"/>
        <v>32900</v>
      </c>
      <c r="S12" s="261"/>
      <c r="T12" s="261"/>
      <c r="U12" s="262"/>
      <c r="V12" s="263">
        <f t="shared" si="8"/>
        <v>32900</v>
      </c>
      <c r="W12" s="72">
        <v>0</v>
      </c>
      <c r="X12" s="261">
        <f>IFERROR(VLOOKUP(B12,'Lunch bill'!$B$6:$H$30,7,0),0)</f>
        <v>0</v>
      </c>
      <c r="Y12" s="261">
        <f t="shared" si="9"/>
        <v>987</v>
      </c>
      <c r="Z12" s="261">
        <f>IFERROR(VLOOKUP(B12,'55 Bike '!$B$7:$J$139,9,0),0)</f>
        <v>0</v>
      </c>
      <c r="AA12" s="261"/>
      <c r="AB12" s="73">
        <f t="shared" si="10"/>
        <v>987</v>
      </c>
      <c r="AC12" s="73">
        <f t="shared" si="11"/>
        <v>31913</v>
      </c>
      <c r="AD12" s="264" t="s">
        <v>23</v>
      </c>
      <c r="AE12" s="256" t="s">
        <v>57</v>
      </c>
      <c r="AF12" s="838"/>
      <c r="AG12" s="205"/>
      <c r="AH12" s="383"/>
      <c r="AI12" s="543"/>
      <c r="AJ12" s="548"/>
      <c r="AK12" s="548"/>
      <c r="AL12" s="198"/>
      <c r="AM12" s="320"/>
      <c r="AN12" s="61"/>
      <c r="AO12" s="61"/>
      <c r="AP12" s="198"/>
      <c r="AQ12" s="61"/>
    </row>
    <row r="13" spans="1:43" s="61" customFormat="1" ht="24.95" customHeight="1">
      <c r="A13" s="253">
        <v>6</v>
      </c>
      <c r="B13" s="254" t="s">
        <v>61</v>
      </c>
      <c r="C13" s="255" t="s">
        <v>62</v>
      </c>
      <c r="D13" s="278" t="str">
        <f>VLOOKUP(B13,Attendance!$B$6:$D$385,3,0)</f>
        <v>Executive (F&amp;A)</v>
      </c>
      <c r="E13" s="278" t="s">
        <v>47</v>
      </c>
      <c r="F13" s="523">
        <v>44604</v>
      </c>
      <c r="G13" s="257">
        <f>VLOOKUP(B13,Attendance!$B$6:$G$386,6,0)</f>
        <v>31</v>
      </c>
      <c r="H13" s="258">
        <f>VLOOKUP(B$8:B$380,Attendance!$B$6:$L$386,11,0)</f>
        <v>0</v>
      </c>
      <c r="I13" s="257">
        <f t="shared" si="0"/>
        <v>31</v>
      </c>
      <c r="J13" s="258">
        <f t="shared" si="1"/>
        <v>967.74193548387098</v>
      </c>
      <c r="K13" s="72">
        <v>30000</v>
      </c>
      <c r="L13" s="72">
        <f t="shared" si="2"/>
        <v>18000</v>
      </c>
      <c r="M13" s="72">
        <f t="shared" si="3"/>
        <v>9000</v>
      </c>
      <c r="N13" s="72">
        <f t="shared" si="4"/>
        <v>1800</v>
      </c>
      <c r="O13" s="72">
        <f t="shared" si="5"/>
        <v>1200</v>
      </c>
      <c r="P13" s="259">
        <v>0</v>
      </c>
      <c r="Q13" s="260">
        <f t="shared" si="6"/>
        <v>30000</v>
      </c>
      <c r="R13" s="260">
        <f t="shared" si="7"/>
        <v>30000</v>
      </c>
      <c r="S13" s="261"/>
      <c r="T13" s="261"/>
      <c r="U13" s="262"/>
      <c r="V13" s="263">
        <f t="shared" si="8"/>
        <v>30000</v>
      </c>
      <c r="W13" s="72">
        <v>0</v>
      </c>
      <c r="X13" s="261">
        <f>IFERROR(VLOOKUP(B13,'Lunch bill'!$B$6:$H$30,7,0),0)</f>
        <v>0</v>
      </c>
      <c r="Y13" s="261">
        <f t="shared" si="9"/>
        <v>900</v>
      </c>
      <c r="Z13" s="261">
        <f>IFERROR(VLOOKUP(B13,'55 Bike '!$B$7:$J$139,9,0),0)</f>
        <v>0</v>
      </c>
      <c r="AA13" s="261"/>
      <c r="AB13" s="73">
        <f t="shared" si="10"/>
        <v>900</v>
      </c>
      <c r="AC13" s="73">
        <f t="shared" si="11"/>
        <v>29100</v>
      </c>
      <c r="AD13" s="264" t="s">
        <v>23</v>
      </c>
      <c r="AE13" s="256" t="s">
        <v>63</v>
      </c>
      <c r="AF13" s="838"/>
      <c r="AG13" s="205"/>
      <c r="AH13" s="383"/>
      <c r="AI13" s="543"/>
      <c r="AJ13" s="548"/>
      <c r="AK13" s="548"/>
      <c r="AL13" s="198"/>
      <c r="AM13" s="320"/>
      <c r="AP13" s="198"/>
    </row>
    <row r="14" spans="1:43" s="61" customFormat="1" ht="24.95" customHeight="1">
      <c r="A14" s="253">
        <v>7</v>
      </c>
      <c r="B14" s="254" t="s">
        <v>64</v>
      </c>
      <c r="C14" s="255" t="s">
        <v>65</v>
      </c>
      <c r="D14" s="278" t="str">
        <f>VLOOKUP(B14,Attendance!$B$6:$D$385,3,0)</f>
        <v>Manager</v>
      </c>
      <c r="E14" s="278" t="s">
        <v>47</v>
      </c>
      <c r="F14" s="523">
        <v>44815</v>
      </c>
      <c r="G14" s="257">
        <f>VLOOKUP(B14,Attendance!$B$6:$G$386,6,0)</f>
        <v>31</v>
      </c>
      <c r="H14" s="258">
        <f>VLOOKUP(B$8:B$380,Attendance!$B$6:$L$386,11,0)</f>
        <v>0</v>
      </c>
      <c r="I14" s="257">
        <f t="shared" si="0"/>
        <v>31</v>
      </c>
      <c r="J14" s="258">
        <f t="shared" si="1"/>
        <v>2741.9354838709678</v>
      </c>
      <c r="K14" s="72">
        <v>85000</v>
      </c>
      <c r="L14" s="72">
        <f t="shared" si="2"/>
        <v>51000</v>
      </c>
      <c r="M14" s="72">
        <f t="shared" si="3"/>
        <v>25500</v>
      </c>
      <c r="N14" s="72">
        <f t="shared" si="4"/>
        <v>5100</v>
      </c>
      <c r="O14" s="72">
        <f t="shared" si="5"/>
        <v>3400</v>
      </c>
      <c r="P14" s="259"/>
      <c r="Q14" s="260">
        <f t="shared" si="6"/>
        <v>85000</v>
      </c>
      <c r="R14" s="260">
        <f t="shared" si="7"/>
        <v>85000</v>
      </c>
      <c r="S14" s="261"/>
      <c r="T14" s="261"/>
      <c r="U14" s="262"/>
      <c r="V14" s="263">
        <f t="shared" si="8"/>
        <v>85000</v>
      </c>
      <c r="W14" s="72">
        <v>1030</v>
      </c>
      <c r="X14" s="261">
        <f>IFERROR(VLOOKUP(B14,'Lunch bill'!$B$6:$H$30,7,0),0)</f>
        <v>1875</v>
      </c>
      <c r="Y14" s="261">
        <f t="shared" si="9"/>
        <v>2550</v>
      </c>
      <c r="Z14" s="261">
        <f>IFERROR(VLOOKUP(B14,'55 Bike '!$B$7:$J$139,9,0),0)</f>
        <v>0</v>
      </c>
      <c r="AA14" s="261"/>
      <c r="AB14" s="73">
        <f t="shared" si="10"/>
        <v>5455</v>
      </c>
      <c r="AC14" s="73">
        <f t="shared" si="11"/>
        <v>79545</v>
      </c>
      <c r="AD14" s="264" t="s">
        <v>23</v>
      </c>
      <c r="AE14" s="256" t="s">
        <v>66</v>
      </c>
      <c r="AF14" s="838"/>
      <c r="AG14" s="205"/>
      <c r="AH14" s="383"/>
      <c r="AI14" s="543"/>
      <c r="AJ14" s="548"/>
      <c r="AK14" s="548"/>
      <c r="AL14" s="198"/>
      <c r="AM14" s="320"/>
      <c r="AP14" s="198"/>
    </row>
    <row r="15" spans="1:43" s="61" customFormat="1" ht="24.95" customHeight="1">
      <c r="A15" s="253">
        <v>8</v>
      </c>
      <c r="B15" s="254" t="s">
        <v>626</v>
      </c>
      <c r="C15" s="255" t="s">
        <v>628</v>
      </c>
      <c r="D15" s="278" t="str">
        <f>VLOOKUP(B15,Attendance!$B$6:$D$385,3,0)</f>
        <v>Accounts Officer</v>
      </c>
      <c r="E15" s="278" t="s">
        <v>47</v>
      </c>
      <c r="F15" s="523">
        <v>45047</v>
      </c>
      <c r="G15" s="257">
        <f>VLOOKUP(B15,Attendance!$B$6:$G$386,6,0)</f>
        <v>31</v>
      </c>
      <c r="H15" s="258">
        <f>VLOOKUP(B$8:B$380,Attendance!$B$6:$L$386,11,0)</f>
        <v>0</v>
      </c>
      <c r="I15" s="257">
        <f t="shared" si="0"/>
        <v>31</v>
      </c>
      <c r="J15" s="258">
        <f t="shared" si="1"/>
        <v>1174.1935483870968</v>
      </c>
      <c r="K15" s="72">
        <v>36400</v>
      </c>
      <c r="L15" s="72">
        <f t="shared" si="2"/>
        <v>21840</v>
      </c>
      <c r="M15" s="72">
        <f t="shared" si="3"/>
        <v>10920</v>
      </c>
      <c r="N15" s="72">
        <f t="shared" si="4"/>
        <v>2184</v>
      </c>
      <c r="O15" s="72">
        <f t="shared" si="5"/>
        <v>1456</v>
      </c>
      <c r="P15" s="259"/>
      <c r="Q15" s="260">
        <f t="shared" si="6"/>
        <v>36400</v>
      </c>
      <c r="R15" s="260">
        <f t="shared" si="7"/>
        <v>36400</v>
      </c>
      <c r="S15" s="261"/>
      <c r="T15" s="261"/>
      <c r="U15" s="262"/>
      <c r="V15" s="263">
        <f t="shared" si="8"/>
        <v>36400</v>
      </c>
      <c r="W15" s="72"/>
      <c r="X15" s="261">
        <f>IFERROR(VLOOKUP(B15,'Lunch bill'!$B$6:$H$30,7,0),0)</f>
        <v>0</v>
      </c>
      <c r="Y15" s="261">
        <f t="shared" si="9"/>
        <v>1092</v>
      </c>
      <c r="Z15" s="261">
        <f>IFERROR(VLOOKUP(B15,'55 Bike '!$B$7:$J$139,9,0),0)</f>
        <v>0</v>
      </c>
      <c r="AA15" s="261"/>
      <c r="AB15" s="73">
        <f t="shared" si="10"/>
        <v>1092</v>
      </c>
      <c r="AC15" s="73">
        <f t="shared" si="11"/>
        <v>35308</v>
      </c>
      <c r="AD15" s="264" t="s">
        <v>23</v>
      </c>
      <c r="AE15" s="256" t="s">
        <v>631</v>
      </c>
      <c r="AF15" s="838"/>
      <c r="AG15" s="205"/>
      <c r="AH15" s="383"/>
      <c r="AI15" s="543"/>
      <c r="AJ15" s="548"/>
      <c r="AK15" s="548"/>
      <c r="AL15" s="198"/>
      <c r="AM15" s="320"/>
      <c r="AP15" s="198"/>
    </row>
    <row r="16" spans="1:43" s="61" customFormat="1" ht="24.95" customHeight="1">
      <c r="A16" s="253">
        <v>9</v>
      </c>
      <c r="B16" s="254" t="s">
        <v>627</v>
      </c>
      <c r="C16" s="255" t="s">
        <v>630</v>
      </c>
      <c r="D16" s="278" t="str">
        <f>VLOOKUP(B16,Attendance!$B$6:$D$385,3,0)</f>
        <v>Accounts Officer (S&amp;P)</v>
      </c>
      <c r="E16" s="278" t="s">
        <v>47</v>
      </c>
      <c r="F16" s="523">
        <v>45061</v>
      </c>
      <c r="G16" s="257">
        <f>VLOOKUP(B16,Attendance!$B$6:$G$386,6,0)</f>
        <v>31</v>
      </c>
      <c r="H16" s="258">
        <f>VLOOKUP(B$8:B$380,Attendance!$B$6:$L$386,11,0)</f>
        <v>0</v>
      </c>
      <c r="I16" s="257">
        <f t="shared" si="0"/>
        <v>31</v>
      </c>
      <c r="J16" s="258">
        <f t="shared" si="1"/>
        <v>967.74193548387098</v>
      </c>
      <c r="K16" s="72">
        <v>30000</v>
      </c>
      <c r="L16" s="72">
        <f t="shared" si="2"/>
        <v>18000</v>
      </c>
      <c r="M16" s="72">
        <f t="shared" si="3"/>
        <v>9000</v>
      </c>
      <c r="N16" s="72">
        <f t="shared" si="4"/>
        <v>1800</v>
      </c>
      <c r="O16" s="72">
        <f t="shared" si="5"/>
        <v>1200</v>
      </c>
      <c r="P16" s="259"/>
      <c r="Q16" s="260">
        <f t="shared" si="6"/>
        <v>30000</v>
      </c>
      <c r="R16" s="260">
        <f t="shared" si="7"/>
        <v>30000</v>
      </c>
      <c r="S16" s="261"/>
      <c r="T16" s="261"/>
      <c r="U16" s="262"/>
      <c r="V16" s="263">
        <f t="shared" si="8"/>
        <v>30000</v>
      </c>
      <c r="W16" s="72"/>
      <c r="X16" s="261">
        <f>IFERROR(VLOOKUP(B16,'Lunch bill'!$B$6:$H$30,7,0),0)</f>
        <v>0</v>
      </c>
      <c r="Y16" s="261">
        <f t="shared" si="9"/>
        <v>900</v>
      </c>
      <c r="Z16" s="261">
        <f>IFERROR(VLOOKUP(B16,'55 Bike '!$B$7:$J$139,9,0),0)</f>
        <v>0</v>
      </c>
      <c r="AA16" s="261"/>
      <c r="AB16" s="73">
        <f t="shared" si="10"/>
        <v>900</v>
      </c>
      <c r="AC16" s="73">
        <f t="shared" si="11"/>
        <v>29100</v>
      </c>
      <c r="AD16" s="264" t="s">
        <v>23</v>
      </c>
      <c r="AE16" s="256" t="s">
        <v>632</v>
      </c>
      <c r="AF16" s="838"/>
      <c r="AG16" s="205"/>
      <c r="AH16" s="383"/>
      <c r="AI16" s="543"/>
      <c r="AJ16" s="548"/>
      <c r="AK16" s="548"/>
      <c r="AL16" s="198"/>
      <c r="AM16" s="320"/>
      <c r="AP16" s="198"/>
    </row>
    <row r="17" spans="1:43" s="61" customFormat="1" ht="24.95" customHeight="1">
      <c r="A17" s="253">
        <v>10</v>
      </c>
      <c r="B17" s="254" t="s">
        <v>719</v>
      </c>
      <c r="C17" s="255" t="s">
        <v>720</v>
      </c>
      <c r="D17" s="278" t="str">
        <f>VLOOKUP(B17,Attendance!$B$6:$D$385,3,0)</f>
        <v>Accounts Officer</v>
      </c>
      <c r="E17" s="278" t="s">
        <v>47</v>
      </c>
      <c r="F17" s="523">
        <v>45122</v>
      </c>
      <c r="G17" s="257">
        <f>VLOOKUP(B17,Attendance!$B$6:$G$386,6,0)</f>
        <v>31</v>
      </c>
      <c r="H17" s="258">
        <f>VLOOKUP(B$8:B$380,Attendance!$B$6:$L$386,11,0)</f>
        <v>0</v>
      </c>
      <c r="I17" s="257">
        <f t="shared" si="0"/>
        <v>31</v>
      </c>
      <c r="J17" s="258">
        <f t="shared" si="1"/>
        <v>741.93548387096769</v>
      </c>
      <c r="K17" s="72">
        <v>23000</v>
      </c>
      <c r="L17" s="72">
        <f t="shared" si="2"/>
        <v>13800</v>
      </c>
      <c r="M17" s="72">
        <f t="shared" si="3"/>
        <v>6900</v>
      </c>
      <c r="N17" s="72">
        <f t="shared" si="4"/>
        <v>1380</v>
      </c>
      <c r="O17" s="72">
        <f t="shared" si="5"/>
        <v>920</v>
      </c>
      <c r="P17" s="259"/>
      <c r="Q17" s="260">
        <f t="shared" si="6"/>
        <v>23000</v>
      </c>
      <c r="R17" s="260">
        <f t="shared" si="7"/>
        <v>23000</v>
      </c>
      <c r="S17" s="261"/>
      <c r="T17" s="261"/>
      <c r="U17" s="262"/>
      <c r="V17" s="263">
        <f t="shared" si="8"/>
        <v>23000</v>
      </c>
      <c r="W17" s="72"/>
      <c r="X17" s="261">
        <f>IFERROR(VLOOKUP(B17,'Lunch bill'!$B$6:$H$30,7,0),0)</f>
        <v>0</v>
      </c>
      <c r="Y17" s="261">
        <f t="shared" si="9"/>
        <v>690</v>
      </c>
      <c r="Z17" s="261">
        <f>IFERROR(VLOOKUP(B17,'55 Bike '!$B$7:$J$139,9,0),0)</f>
        <v>0</v>
      </c>
      <c r="AA17" s="261"/>
      <c r="AB17" s="73">
        <f t="shared" si="10"/>
        <v>690</v>
      </c>
      <c r="AC17" s="73">
        <f t="shared" si="11"/>
        <v>22310</v>
      </c>
      <c r="AD17" s="264" t="s">
        <v>23</v>
      </c>
      <c r="AE17" s="256" t="s">
        <v>721</v>
      </c>
      <c r="AF17" s="838"/>
      <c r="AG17" s="205"/>
      <c r="AH17" s="383"/>
      <c r="AI17" s="543"/>
      <c r="AJ17" s="548"/>
      <c r="AK17" s="548"/>
      <c r="AL17" s="198"/>
      <c r="AM17" s="320"/>
      <c r="AP17" s="198"/>
    </row>
    <row r="18" spans="1:43" s="61" customFormat="1" ht="24.95" customHeight="1">
      <c r="A18" s="253">
        <v>11</v>
      </c>
      <c r="B18" s="254" t="s">
        <v>858</v>
      </c>
      <c r="C18" s="255" t="s">
        <v>859</v>
      </c>
      <c r="D18" s="278" t="str">
        <f>VLOOKUP(B18,Attendance!$B$6:$D$385,3,0)</f>
        <v>Accounts Officer</v>
      </c>
      <c r="E18" s="278" t="s">
        <v>469</v>
      </c>
      <c r="F18" s="523">
        <v>45154</v>
      </c>
      <c r="G18" s="257">
        <f>VLOOKUP(B18,Attendance!$B$6:$G$386,6,0)</f>
        <v>31</v>
      </c>
      <c r="H18" s="258">
        <f>VLOOKUP(B$8:B$380,Attendance!$B$6:$L$386,11,0)</f>
        <v>0</v>
      </c>
      <c r="I18" s="257">
        <f t="shared" si="0"/>
        <v>31</v>
      </c>
      <c r="J18" s="258">
        <f t="shared" si="1"/>
        <v>967.74193548387098</v>
      </c>
      <c r="K18" s="72">
        <v>30000</v>
      </c>
      <c r="L18" s="72">
        <f t="shared" si="2"/>
        <v>18000</v>
      </c>
      <c r="M18" s="72">
        <f t="shared" si="3"/>
        <v>9000</v>
      </c>
      <c r="N18" s="72">
        <f t="shared" si="4"/>
        <v>1800</v>
      </c>
      <c r="O18" s="72">
        <f t="shared" si="5"/>
        <v>1200</v>
      </c>
      <c r="P18" s="259"/>
      <c r="Q18" s="260">
        <f t="shared" si="6"/>
        <v>30000</v>
      </c>
      <c r="R18" s="260">
        <f t="shared" si="7"/>
        <v>30000</v>
      </c>
      <c r="S18" s="261"/>
      <c r="T18" s="261"/>
      <c r="U18" s="262"/>
      <c r="V18" s="263">
        <f t="shared" si="8"/>
        <v>30000</v>
      </c>
      <c r="W18" s="72"/>
      <c r="X18" s="261">
        <f>IFERROR(VLOOKUP(B18,'Lunch bill'!$B$6:$H$30,7,0),0)</f>
        <v>0</v>
      </c>
      <c r="Y18" s="261">
        <f t="shared" si="9"/>
        <v>900</v>
      </c>
      <c r="Z18" s="261">
        <f>IFERROR(VLOOKUP(B18,'55 Bike '!$B$7:$J$139,9,0),0)</f>
        <v>0</v>
      </c>
      <c r="AA18" s="261"/>
      <c r="AB18" s="73">
        <f t="shared" si="10"/>
        <v>900</v>
      </c>
      <c r="AC18" s="73">
        <f t="shared" si="11"/>
        <v>29100</v>
      </c>
      <c r="AD18" s="264" t="s">
        <v>23</v>
      </c>
      <c r="AE18" s="256" t="s">
        <v>950</v>
      </c>
      <c r="AF18" s="838"/>
      <c r="AG18" s="205"/>
      <c r="AH18" s="383"/>
      <c r="AI18" s="543"/>
      <c r="AJ18" s="548"/>
      <c r="AK18" s="548"/>
      <c r="AL18" s="198"/>
      <c r="AM18" s="320"/>
      <c r="AP18" s="198"/>
    </row>
    <row r="19" spans="1:43" s="47" customFormat="1" ht="24.95" customHeight="1">
      <c r="A19" s="253">
        <v>12</v>
      </c>
      <c r="B19" s="254" t="s">
        <v>893</v>
      </c>
      <c r="C19" s="255" t="s">
        <v>894</v>
      </c>
      <c r="D19" s="278" t="str">
        <f>VLOOKUP(B19,Attendance!$B$6:$D$385,3,0)</f>
        <v>Consultant</v>
      </c>
      <c r="E19" s="278" t="s">
        <v>469</v>
      </c>
      <c r="F19" s="523">
        <v>45171</v>
      </c>
      <c r="G19" s="257">
        <f>VLOOKUP(B19,Attendance!$B$6:$G$386,6,0)</f>
        <v>31</v>
      </c>
      <c r="H19" s="258">
        <f>VLOOKUP(B$8:B$380,Attendance!$B$6:$L$386,11,0)</f>
        <v>0</v>
      </c>
      <c r="I19" s="257">
        <f t="shared" si="0"/>
        <v>31</v>
      </c>
      <c r="J19" s="258">
        <f t="shared" si="1"/>
        <v>3225.8064516129034</v>
      </c>
      <c r="K19" s="72">
        <v>100000</v>
      </c>
      <c r="L19" s="72">
        <f t="shared" si="2"/>
        <v>60000</v>
      </c>
      <c r="M19" s="72">
        <f t="shared" si="3"/>
        <v>30000</v>
      </c>
      <c r="N19" s="72">
        <f t="shared" si="4"/>
        <v>6000</v>
      </c>
      <c r="O19" s="72">
        <f t="shared" si="5"/>
        <v>4000</v>
      </c>
      <c r="P19" s="259"/>
      <c r="Q19" s="260">
        <f t="shared" si="6"/>
        <v>100000</v>
      </c>
      <c r="R19" s="260">
        <f t="shared" si="7"/>
        <v>100000</v>
      </c>
      <c r="S19" s="261"/>
      <c r="T19" s="261"/>
      <c r="U19" s="262"/>
      <c r="V19" s="263">
        <f t="shared" si="8"/>
        <v>100000</v>
      </c>
      <c r="W19" s="72">
        <v>10000</v>
      </c>
      <c r="X19" s="261">
        <f>IFERROR(VLOOKUP(B19,'Lunch bill'!$B$6:$H$30,7,0),0)</f>
        <v>0</v>
      </c>
      <c r="Y19" s="261">
        <f t="shared" si="9"/>
        <v>3000</v>
      </c>
      <c r="Z19" s="261">
        <f>IFERROR(VLOOKUP(B19,'55 Bike '!$B$7:$J$139,9,0),0)</f>
        <v>0</v>
      </c>
      <c r="AA19" s="261"/>
      <c r="AB19" s="73">
        <f t="shared" si="10"/>
        <v>13000</v>
      </c>
      <c r="AC19" s="73">
        <f t="shared" si="11"/>
        <v>87000</v>
      </c>
      <c r="AD19" s="264" t="s">
        <v>23</v>
      </c>
      <c r="AE19" s="256" t="s">
        <v>1107</v>
      </c>
      <c r="AF19" s="838"/>
      <c r="AG19" s="205"/>
      <c r="AH19" s="383"/>
      <c r="AI19" s="543"/>
      <c r="AJ19" s="564"/>
      <c r="AK19" s="564"/>
      <c r="AL19" s="183"/>
      <c r="AM19" s="319"/>
      <c r="AN19" s="61"/>
      <c r="AO19" s="61"/>
      <c r="AP19" s="198"/>
      <c r="AQ19" s="61"/>
    </row>
    <row r="20" spans="1:43" s="61" customFormat="1" ht="24" customHeight="1">
      <c r="A20" s="253">
        <v>13</v>
      </c>
      <c r="B20" s="254" t="s">
        <v>1217</v>
      </c>
      <c r="C20" s="255" t="s">
        <v>1218</v>
      </c>
      <c r="D20" s="278" t="str">
        <f>VLOOKUP(B20,Attendance!$B$6:$D$385,3,0)</f>
        <v>Executive</v>
      </c>
      <c r="E20" s="278" t="s">
        <v>469</v>
      </c>
      <c r="F20" s="523">
        <v>45361</v>
      </c>
      <c r="G20" s="257">
        <f>VLOOKUP(B20,Attendance!$B$6:$G$386,6,0)</f>
        <v>31</v>
      </c>
      <c r="H20" s="258">
        <f>VLOOKUP(B$8:B$380,Attendance!$B$6:$L$386,11,0)</f>
        <v>0</v>
      </c>
      <c r="I20" s="257">
        <f t="shared" si="0"/>
        <v>31</v>
      </c>
      <c r="J20" s="258">
        <f t="shared" si="1"/>
        <v>1290.3225806451612</v>
      </c>
      <c r="K20" s="72">
        <v>40000</v>
      </c>
      <c r="L20" s="72">
        <f t="shared" si="2"/>
        <v>24000</v>
      </c>
      <c r="M20" s="72">
        <f t="shared" si="3"/>
        <v>12000</v>
      </c>
      <c r="N20" s="72">
        <f t="shared" si="4"/>
        <v>2400</v>
      </c>
      <c r="O20" s="72">
        <f t="shared" si="5"/>
        <v>1600</v>
      </c>
      <c r="P20" s="259"/>
      <c r="Q20" s="260">
        <f t="shared" si="6"/>
        <v>40000</v>
      </c>
      <c r="R20" s="260">
        <f t="shared" si="7"/>
        <v>40000</v>
      </c>
      <c r="S20" s="261"/>
      <c r="T20" s="261"/>
      <c r="U20" s="262"/>
      <c r="V20" s="263">
        <f t="shared" si="8"/>
        <v>40000</v>
      </c>
      <c r="W20" s="72">
        <v>417</v>
      </c>
      <c r="X20" s="261">
        <f>IFERROR(VLOOKUP(B20,'Lunch bill'!$B$6:$H$30,7,0),0)</f>
        <v>0</v>
      </c>
      <c r="Y20" s="261">
        <f t="shared" si="9"/>
        <v>0</v>
      </c>
      <c r="Z20" s="261">
        <f>IFERROR(VLOOKUP(B20,'55 Bike '!$B$7:$J$139,9,0),0)</f>
        <v>0</v>
      </c>
      <c r="AA20" s="261"/>
      <c r="AB20" s="73">
        <f t="shared" si="10"/>
        <v>417</v>
      </c>
      <c r="AC20" s="73">
        <f t="shared" si="11"/>
        <v>39583</v>
      </c>
      <c r="AD20" s="264" t="s">
        <v>23</v>
      </c>
      <c r="AE20" s="563" t="s">
        <v>1334</v>
      </c>
      <c r="AF20" s="838"/>
      <c r="AG20" s="796"/>
      <c r="AH20" s="383"/>
      <c r="AI20" s="543"/>
      <c r="AJ20" s="548"/>
      <c r="AK20" s="548"/>
      <c r="AL20" s="198"/>
      <c r="AM20" s="320"/>
      <c r="AP20" s="198"/>
    </row>
    <row r="21" spans="1:43" s="61" customFormat="1" ht="24.95" customHeight="1">
      <c r="A21" s="253">
        <v>14</v>
      </c>
      <c r="B21" s="254" t="s">
        <v>1288</v>
      </c>
      <c r="C21" s="255" t="s">
        <v>1289</v>
      </c>
      <c r="D21" s="278" t="str">
        <f>VLOOKUP(B21,Attendance!$B$6:$D$385,3,0)</f>
        <v>Accounts Officer</v>
      </c>
      <c r="E21" s="278" t="s">
        <v>469</v>
      </c>
      <c r="F21" s="523">
        <v>45397</v>
      </c>
      <c r="G21" s="257">
        <f>VLOOKUP(B21,Attendance!$B$6:$G$386,6,0)</f>
        <v>31</v>
      </c>
      <c r="H21" s="258">
        <f>VLOOKUP(B$8:B$380,Attendance!$B$6:$L$386,11,0)</f>
        <v>0</v>
      </c>
      <c r="I21" s="257">
        <f t="shared" si="0"/>
        <v>31</v>
      </c>
      <c r="J21" s="258">
        <f t="shared" si="1"/>
        <v>935.48387096774195</v>
      </c>
      <c r="K21" s="72">
        <v>29000</v>
      </c>
      <c r="L21" s="72">
        <f t="shared" si="2"/>
        <v>17400</v>
      </c>
      <c r="M21" s="72">
        <f t="shared" si="3"/>
        <v>8700</v>
      </c>
      <c r="N21" s="72">
        <f t="shared" si="4"/>
        <v>1740</v>
      </c>
      <c r="O21" s="72">
        <f t="shared" si="5"/>
        <v>1160</v>
      </c>
      <c r="P21" s="259"/>
      <c r="Q21" s="260">
        <f t="shared" si="6"/>
        <v>29000</v>
      </c>
      <c r="R21" s="260">
        <f t="shared" si="7"/>
        <v>29000</v>
      </c>
      <c r="S21" s="261"/>
      <c r="T21" s="261"/>
      <c r="U21" s="262"/>
      <c r="V21" s="263">
        <f t="shared" si="8"/>
        <v>29000</v>
      </c>
      <c r="W21" s="72"/>
      <c r="X21" s="261">
        <f>IFERROR(VLOOKUP(B21,'Lunch bill'!$B$6:$H$30,7,0),0)</f>
        <v>0</v>
      </c>
      <c r="Y21" s="261">
        <f t="shared" si="9"/>
        <v>0</v>
      </c>
      <c r="Z21" s="261">
        <f>IFERROR(VLOOKUP(B21,'55 Bike '!$B$7:$J$139,9,0),0)</f>
        <v>0</v>
      </c>
      <c r="AA21" s="261"/>
      <c r="AB21" s="73">
        <f t="shared" si="10"/>
        <v>0</v>
      </c>
      <c r="AC21" s="73">
        <f t="shared" si="11"/>
        <v>29000</v>
      </c>
      <c r="AD21" s="264" t="s">
        <v>23</v>
      </c>
      <c r="AE21" s="563" t="s">
        <v>1335</v>
      </c>
      <c r="AF21" s="838"/>
      <c r="AG21" s="796"/>
      <c r="AH21" s="383"/>
      <c r="AI21" s="543"/>
      <c r="AJ21" s="548"/>
      <c r="AK21" s="548"/>
      <c r="AL21" s="198"/>
      <c r="AM21" s="320"/>
      <c r="AP21" s="198"/>
    </row>
    <row r="22" spans="1:43" s="61" customFormat="1" ht="24.95" customHeight="1">
      <c r="A22" s="253">
        <v>15</v>
      </c>
      <c r="B22" s="254" t="s">
        <v>1290</v>
      </c>
      <c r="C22" s="255" t="s">
        <v>1291</v>
      </c>
      <c r="D22" s="278" t="str">
        <f>VLOOKUP(B22,Attendance!$B$6:$D$385,3,0)</f>
        <v>Accounts Officer</v>
      </c>
      <c r="E22" s="278" t="s">
        <v>469</v>
      </c>
      <c r="F22" s="523">
        <v>45397</v>
      </c>
      <c r="G22" s="257">
        <f>VLOOKUP(B22,Attendance!$B$6:$G$386,6,0)</f>
        <v>31</v>
      </c>
      <c r="H22" s="258">
        <f>VLOOKUP(B$8:B$380,Attendance!$B$6:$L$386,11,0)</f>
        <v>0</v>
      </c>
      <c r="I22" s="257">
        <f t="shared" si="0"/>
        <v>31</v>
      </c>
      <c r="J22" s="258">
        <f t="shared" si="1"/>
        <v>903.22580645161293</v>
      </c>
      <c r="K22" s="72">
        <v>28000</v>
      </c>
      <c r="L22" s="72">
        <f t="shared" si="2"/>
        <v>16800</v>
      </c>
      <c r="M22" s="72">
        <f t="shared" si="3"/>
        <v>8400</v>
      </c>
      <c r="N22" s="72">
        <f t="shared" si="4"/>
        <v>1680</v>
      </c>
      <c r="O22" s="72">
        <f t="shared" si="5"/>
        <v>1120</v>
      </c>
      <c r="P22" s="259"/>
      <c r="Q22" s="260">
        <f t="shared" si="6"/>
        <v>28000</v>
      </c>
      <c r="R22" s="260">
        <f t="shared" si="7"/>
        <v>28000</v>
      </c>
      <c r="S22" s="261"/>
      <c r="T22" s="261"/>
      <c r="U22" s="262"/>
      <c r="V22" s="263">
        <f t="shared" si="8"/>
        <v>28000</v>
      </c>
      <c r="W22" s="72"/>
      <c r="X22" s="261">
        <f>IFERROR(VLOOKUP(B22,'Lunch bill'!$B$6:$H$30,7,0),0)</f>
        <v>0</v>
      </c>
      <c r="Y22" s="261">
        <f t="shared" si="9"/>
        <v>0</v>
      </c>
      <c r="Z22" s="261">
        <f>IFERROR(VLOOKUP(B22,'55 Bike '!$B$7:$J$139,9,0),0)</f>
        <v>0</v>
      </c>
      <c r="AA22" s="261"/>
      <c r="AB22" s="73">
        <f t="shared" si="10"/>
        <v>0</v>
      </c>
      <c r="AC22" s="73">
        <f t="shared" si="11"/>
        <v>28000</v>
      </c>
      <c r="AD22" s="264" t="s">
        <v>25</v>
      </c>
      <c r="AE22" s="563" t="s">
        <v>1876</v>
      </c>
      <c r="AF22" s="838"/>
      <c r="AG22" s="796"/>
      <c r="AH22" s="383"/>
      <c r="AI22" s="543"/>
      <c r="AJ22" s="548"/>
      <c r="AK22" s="548"/>
      <c r="AL22" s="198"/>
      <c r="AM22" s="320"/>
      <c r="AP22" s="198"/>
    </row>
    <row r="23" spans="1:43" s="30" customFormat="1" ht="24.95" customHeight="1">
      <c r="A23" s="282" t="s">
        <v>67</v>
      </c>
      <c r="B23" s="282"/>
      <c r="C23" s="282"/>
      <c r="D23" s="282"/>
      <c r="E23" s="282"/>
      <c r="F23" s="526"/>
      <c r="G23" s="106"/>
      <c r="H23" s="106"/>
      <c r="I23" s="106"/>
      <c r="J23" s="106"/>
      <c r="K23" s="107">
        <f t="shared" ref="K23:AC23" si="12">SUM(K8:K22)</f>
        <v>645300</v>
      </c>
      <c r="L23" s="107">
        <f t="shared" si="12"/>
        <v>387180</v>
      </c>
      <c r="M23" s="107">
        <f t="shared" si="12"/>
        <v>193590</v>
      </c>
      <c r="N23" s="107">
        <f t="shared" si="12"/>
        <v>38718</v>
      </c>
      <c r="O23" s="107">
        <f t="shared" si="12"/>
        <v>25812</v>
      </c>
      <c r="P23" s="107">
        <f t="shared" si="12"/>
        <v>0</v>
      </c>
      <c r="Q23" s="107">
        <f t="shared" si="12"/>
        <v>645300</v>
      </c>
      <c r="R23" s="107">
        <f t="shared" si="12"/>
        <v>645300</v>
      </c>
      <c r="S23" s="107">
        <f t="shared" si="12"/>
        <v>0</v>
      </c>
      <c r="T23" s="107">
        <f t="shared" si="12"/>
        <v>0</v>
      </c>
      <c r="U23" s="107">
        <f t="shared" si="12"/>
        <v>0</v>
      </c>
      <c r="V23" s="107">
        <f t="shared" si="12"/>
        <v>645300</v>
      </c>
      <c r="W23" s="107">
        <f t="shared" si="12"/>
        <v>12281</v>
      </c>
      <c r="X23" s="107">
        <f t="shared" si="12"/>
        <v>5700</v>
      </c>
      <c r="Y23" s="107">
        <f t="shared" si="12"/>
        <v>16449</v>
      </c>
      <c r="Z23" s="107">
        <f t="shared" si="12"/>
        <v>0</v>
      </c>
      <c r="AA23" s="107">
        <f t="shared" si="12"/>
        <v>0</v>
      </c>
      <c r="AB23" s="107">
        <f t="shared" si="12"/>
        <v>34430</v>
      </c>
      <c r="AC23" s="107">
        <f t="shared" si="12"/>
        <v>610870</v>
      </c>
      <c r="AD23" s="107"/>
      <c r="AE23" s="113"/>
      <c r="AF23" s="838"/>
      <c r="AG23" s="199"/>
      <c r="AH23" s="383"/>
      <c r="AI23" s="543"/>
      <c r="AJ23" s="548"/>
      <c r="AK23" s="549"/>
      <c r="AL23" s="198"/>
      <c r="AM23" s="320"/>
      <c r="AN23" s="61"/>
      <c r="AO23" s="61"/>
      <c r="AP23" s="198"/>
      <c r="AQ23" s="61"/>
    </row>
    <row r="24" spans="1:43" s="47" customFormat="1" ht="24.95" customHeight="1">
      <c r="A24" s="89" t="s">
        <v>27</v>
      </c>
      <c r="B24" s="90"/>
      <c r="C24" s="90"/>
      <c r="D24" s="281"/>
      <c r="E24" s="497"/>
      <c r="F24" s="530"/>
      <c r="G24" s="90"/>
      <c r="H24" s="267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268"/>
      <c r="V24" s="90"/>
      <c r="W24" s="90"/>
      <c r="X24" s="268"/>
      <c r="Y24" s="267"/>
      <c r="Z24" s="268"/>
      <c r="AA24" s="268"/>
      <c r="AB24" s="268"/>
      <c r="AC24" s="90"/>
      <c r="AD24" s="90"/>
      <c r="AE24" s="91"/>
      <c r="AF24" s="838"/>
      <c r="AG24" s="90"/>
      <c r="AH24" s="383"/>
      <c r="AI24" s="543"/>
      <c r="AJ24" s="548"/>
      <c r="AK24" s="549"/>
      <c r="AL24" s="198"/>
      <c r="AM24" s="320"/>
      <c r="AN24" s="61"/>
      <c r="AO24" s="61"/>
      <c r="AP24" s="198"/>
      <c r="AQ24" s="61"/>
    </row>
    <row r="25" spans="1:43" s="61" customFormat="1" ht="24.95" customHeight="1">
      <c r="A25" s="508">
        <v>1</v>
      </c>
      <c r="B25" s="509" t="s">
        <v>68</v>
      </c>
      <c r="C25" s="510" t="s">
        <v>69</v>
      </c>
      <c r="D25" s="511" t="str">
        <f>VLOOKUP(B25,Attendance!$B$6:$D$385,3,0)</f>
        <v>Deputy Manager</v>
      </c>
      <c r="E25" s="511" t="s">
        <v>70</v>
      </c>
      <c r="F25" s="529">
        <v>44580</v>
      </c>
      <c r="G25" s="286">
        <f>VLOOKUP(B25,Attendance!$B$6:$G$386,6,0)</f>
        <v>31</v>
      </c>
      <c r="H25" s="332">
        <f>VLOOKUP(B$8:B$380,Attendance!$B$6:$L$385,11,0)</f>
        <v>0</v>
      </c>
      <c r="I25" s="286">
        <f t="shared" ref="I25:I34" si="13">G25-H25</f>
        <v>31</v>
      </c>
      <c r="J25" s="332">
        <f t="shared" ref="J25:J34" si="14">Q25/G25</f>
        <v>1935.483870967742</v>
      </c>
      <c r="K25" s="58">
        <v>60000</v>
      </c>
      <c r="L25" s="58">
        <f t="shared" ref="L25:L34" si="15">K25*60%</f>
        <v>36000</v>
      </c>
      <c r="M25" s="58">
        <f t="shared" ref="M25:M34" si="16">K25*30%</f>
        <v>18000</v>
      </c>
      <c r="N25" s="58">
        <f t="shared" ref="N25:N34" si="17">K25*6%</f>
        <v>3600</v>
      </c>
      <c r="O25" s="58">
        <f t="shared" ref="O25:O34" si="18">K25*4%</f>
        <v>2400</v>
      </c>
      <c r="P25" s="512">
        <v>0</v>
      </c>
      <c r="Q25" s="513">
        <f t="shared" ref="Q25:Q34" si="19">SUM(L25:P25)</f>
        <v>60000</v>
      </c>
      <c r="R25" s="513">
        <f t="shared" ref="R25:R34" si="20">ROUND(I25*J25,)</f>
        <v>60000</v>
      </c>
      <c r="S25" s="514"/>
      <c r="T25" s="514"/>
      <c r="U25" s="783"/>
      <c r="V25" s="515">
        <f t="shared" ref="V25:V34" si="21">SUM(R25:U25)</f>
        <v>60000</v>
      </c>
      <c r="W25" s="95">
        <v>417</v>
      </c>
      <c r="X25" s="261">
        <f>IFERROR(VLOOKUP(B25,'Lunch bill'!$B$6:$H$30,7,0),0)</f>
        <v>0</v>
      </c>
      <c r="Y25" s="261">
        <f t="shared" ref="Y25:Y34" si="22">ROUND(IF($AH$4-F25&gt;=360,L25*5%,0),0)</f>
        <v>1800</v>
      </c>
      <c r="Z25" s="261">
        <f>IFERROR(VLOOKUP(B25,'55 Bike '!$B$7:$J$139,9,0),0)</f>
        <v>0</v>
      </c>
      <c r="AA25" s="614"/>
      <c r="AB25" s="193">
        <f t="shared" ref="AB25:AB34" si="23">SUM(W25:AA25)</f>
        <v>2217</v>
      </c>
      <c r="AC25" s="59">
        <f t="shared" ref="AC25:AC34" si="24">ROUND(V25-AB25,0)</f>
        <v>57783</v>
      </c>
      <c r="AD25" s="516" t="s">
        <v>23</v>
      </c>
      <c r="AE25" s="517" t="s">
        <v>71</v>
      </c>
      <c r="AF25" s="838"/>
      <c r="AG25" s="205"/>
      <c r="AH25" s="383"/>
      <c r="AI25" s="543"/>
      <c r="AJ25" s="548"/>
      <c r="AK25" s="548"/>
      <c r="AL25" s="198"/>
      <c r="AM25" s="320"/>
      <c r="AP25" s="198"/>
    </row>
    <row r="26" spans="1:43" s="61" customFormat="1" ht="24.95" customHeight="1">
      <c r="A26" s="253">
        <v>2</v>
      </c>
      <c r="B26" s="254" t="s">
        <v>72</v>
      </c>
      <c r="C26" s="255" t="s">
        <v>73</v>
      </c>
      <c r="D26" s="278" t="str">
        <f>VLOOKUP(B26,Attendance!$B$6:$D$385,3,0)</f>
        <v>Office Assistant</v>
      </c>
      <c r="E26" s="278" t="s">
        <v>74</v>
      </c>
      <c r="F26" s="523">
        <v>44593</v>
      </c>
      <c r="G26" s="257">
        <f>VLOOKUP(B26,Attendance!$B$6:$G$386,6,0)</f>
        <v>31</v>
      </c>
      <c r="H26" s="258">
        <f>VLOOKUP(B$8:B$380,Attendance!$B$6:$L$386,11,0)</f>
        <v>0</v>
      </c>
      <c r="I26" s="257">
        <f t="shared" si="13"/>
        <v>31</v>
      </c>
      <c r="J26" s="258">
        <f t="shared" si="14"/>
        <v>741.93548387096769</v>
      </c>
      <c r="K26" s="72">
        <v>23000</v>
      </c>
      <c r="L26" s="72">
        <f t="shared" si="15"/>
        <v>13800</v>
      </c>
      <c r="M26" s="72">
        <f t="shared" si="16"/>
        <v>6900</v>
      </c>
      <c r="N26" s="72">
        <f t="shared" si="17"/>
        <v>1380</v>
      </c>
      <c r="O26" s="72">
        <f t="shared" si="18"/>
        <v>920</v>
      </c>
      <c r="P26" s="259">
        <v>0</v>
      </c>
      <c r="Q26" s="260">
        <f t="shared" si="19"/>
        <v>23000</v>
      </c>
      <c r="R26" s="260">
        <f t="shared" si="20"/>
        <v>23000</v>
      </c>
      <c r="S26" s="261"/>
      <c r="T26" s="261"/>
      <c r="U26" s="262"/>
      <c r="V26" s="263">
        <f t="shared" si="21"/>
        <v>23000</v>
      </c>
      <c r="W26" s="72">
        <v>0</v>
      </c>
      <c r="X26" s="261">
        <f>IFERROR(VLOOKUP(B26,'Lunch bill'!$B$6:$H$30,7,0),0)</f>
        <v>0</v>
      </c>
      <c r="Y26" s="261">
        <f t="shared" si="22"/>
        <v>690</v>
      </c>
      <c r="Z26" s="261">
        <f>IFERROR(VLOOKUP(B26,'55 Bike '!$B$7:$J$139,9,0),0)</f>
        <v>0</v>
      </c>
      <c r="AA26" s="261"/>
      <c r="AB26" s="73">
        <f t="shared" si="23"/>
        <v>690</v>
      </c>
      <c r="AC26" s="73">
        <f t="shared" si="24"/>
        <v>22310</v>
      </c>
      <c r="AD26" s="264" t="s">
        <v>25</v>
      </c>
      <c r="AE26" s="256" t="s">
        <v>1876</v>
      </c>
      <c r="AF26" s="838"/>
      <c r="AG26" s="205"/>
      <c r="AH26" s="383"/>
      <c r="AI26" s="543"/>
      <c r="AJ26" s="548"/>
      <c r="AK26" s="548"/>
      <c r="AL26" s="198"/>
      <c r="AM26" s="320"/>
      <c r="AP26" s="198"/>
    </row>
    <row r="27" spans="1:43" s="61" customFormat="1" ht="24.95" customHeight="1">
      <c r="A27" s="253">
        <v>3</v>
      </c>
      <c r="B27" s="254" t="s">
        <v>75</v>
      </c>
      <c r="C27" s="255" t="s">
        <v>76</v>
      </c>
      <c r="D27" s="278" t="str">
        <f>VLOOKUP(B27,Attendance!$B$6:$D$385,3,0)</f>
        <v>Office Assistant</v>
      </c>
      <c r="E27" s="278" t="s">
        <v>74</v>
      </c>
      <c r="F27" s="523">
        <v>44634</v>
      </c>
      <c r="G27" s="257">
        <f>VLOOKUP(B27,Attendance!$B$6:$G$386,6,0)</f>
        <v>31</v>
      </c>
      <c r="H27" s="258">
        <f>VLOOKUP(B$8:B$380,Attendance!$B$6:$L$386,11,0)</f>
        <v>0</v>
      </c>
      <c r="I27" s="257">
        <f t="shared" si="13"/>
        <v>31</v>
      </c>
      <c r="J27" s="258">
        <f t="shared" si="14"/>
        <v>629.0322580645161</v>
      </c>
      <c r="K27" s="72">
        <v>19500</v>
      </c>
      <c r="L27" s="72">
        <f t="shared" si="15"/>
        <v>11700</v>
      </c>
      <c r="M27" s="72">
        <f t="shared" si="16"/>
        <v>5850</v>
      </c>
      <c r="N27" s="72">
        <f t="shared" si="17"/>
        <v>1170</v>
      </c>
      <c r="O27" s="72">
        <f t="shared" si="18"/>
        <v>780</v>
      </c>
      <c r="P27" s="259">
        <v>0</v>
      </c>
      <c r="Q27" s="260">
        <f t="shared" si="19"/>
        <v>19500</v>
      </c>
      <c r="R27" s="260">
        <f t="shared" si="20"/>
        <v>19500</v>
      </c>
      <c r="S27" s="261"/>
      <c r="T27" s="261">
        <v>3000</v>
      </c>
      <c r="U27" s="262"/>
      <c r="V27" s="263">
        <f t="shared" si="21"/>
        <v>22500</v>
      </c>
      <c r="W27" s="72">
        <v>0</v>
      </c>
      <c r="X27" s="261">
        <f>IFERROR(VLOOKUP(B27,'Lunch bill'!$B$6:$H$30,7,0),0)</f>
        <v>0</v>
      </c>
      <c r="Y27" s="261">
        <f t="shared" si="22"/>
        <v>585</v>
      </c>
      <c r="Z27" s="261">
        <f>IFERROR(VLOOKUP(B27,'55 Bike '!$B$7:$J$139,9,0),0)</f>
        <v>0</v>
      </c>
      <c r="AA27" s="261">
        <v>10000</v>
      </c>
      <c r="AB27" s="73">
        <f t="shared" si="23"/>
        <v>10585</v>
      </c>
      <c r="AC27" s="73">
        <f t="shared" si="24"/>
        <v>11915</v>
      </c>
      <c r="AD27" s="264" t="s">
        <v>23</v>
      </c>
      <c r="AE27" s="256" t="s">
        <v>77</v>
      </c>
      <c r="AF27" s="838"/>
      <c r="AG27" s="205"/>
      <c r="AH27" s="383"/>
      <c r="AI27" s="543"/>
      <c r="AJ27" s="548"/>
      <c r="AK27" s="548"/>
      <c r="AL27" s="198"/>
      <c r="AM27" s="320"/>
      <c r="AP27" s="198"/>
    </row>
    <row r="28" spans="1:43" s="61" customFormat="1" ht="24.95" customHeight="1">
      <c r="A28" s="253">
        <v>4</v>
      </c>
      <c r="B28" s="254" t="s">
        <v>78</v>
      </c>
      <c r="C28" s="255" t="s">
        <v>79</v>
      </c>
      <c r="D28" s="278" t="str">
        <f>VLOOKUP(B28,Attendance!$B$6:$D$385,3,0)</f>
        <v>Office Assistant</v>
      </c>
      <c r="E28" s="278" t="s">
        <v>74</v>
      </c>
      <c r="F28" s="523">
        <v>44675</v>
      </c>
      <c r="G28" s="257">
        <f>VLOOKUP(B28,Attendance!$B$6:$G$386,6,0)</f>
        <v>31</v>
      </c>
      <c r="H28" s="258">
        <f>VLOOKUP(B$8:B$380,Attendance!$B$6:$L$386,11,0)</f>
        <v>0</v>
      </c>
      <c r="I28" s="257">
        <f t="shared" si="13"/>
        <v>31</v>
      </c>
      <c r="J28" s="258">
        <f t="shared" si="14"/>
        <v>580.64516129032256</v>
      </c>
      <c r="K28" s="72">
        <v>18000</v>
      </c>
      <c r="L28" s="72">
        <f t="shared" si="15"/>
        <v>10800</v>
      </c>
      <c r="M28" s="72">
        <f t="shared" si="16"/>
        <v>5400</v>
      </c>
      <c r="N28" s="72">
        <f t="shared" si="17"/>
        <v>1080</v>
      </c>
      <c r="O28" s="72">
        <f t="shared" si="18"/>
        <v>720</v>
      </c>
      <c r="P28" s="259">
        <v>0</v>
      </c>
      <c r="Q28" s="260">
        <f t="shared" si="19"/>
        <v>18000</v>
      </c>
      <c r="R28" s="260">
        <f t="shared" si="20"/>
        <v>18000</v>
      </c>
      <c r="S28" s="261"/>
      <c r="T28" s="261"/>
      <c r="U28" s="262"/>
      <c r="V28" s="263">
        <f t="shared" si="21"/>
        <v>18000</v>
      </c>
      <c r="W28" s="72">
        <v>0</v>
      </c>
      <c r="X28" s="261">
        <f>IFERROR(VLOOKUP(B28,'Lunch bill'!$B$6:$H$30,7,0),0)</f>
        <v>0</v>
      </c>
      <c r="Y28" s="261">
        <f t="shared" si="22"/>
        <v>540</v>
      </c>
      <c r="Z28" s="261">
        <f>IFERROR(VLOOKUP(B28,'55 Bike '!$B$7:$J$139,9,0),0)</f>
        <v>0</v>
      </c>
      <c r="AA28" s="261"/>
      <c r="AB28" s="73">
        <f t="shared" si="23"/>
        <v>540</v>
      </c>
      <c r="AC28" s="73">
        <f t="shared" si="24"/>
        <v>17460</v>
      </c>
      <c r="AD28" s="264" t="s">
        <v>23</v>
      </c>
      <c r="AE28" s="256" t="s">
        <v>80</v>
      </c>
      <c r="AF28" s="838"/>
      <c r="AG28" s="205"/>
      <c r="AH28" s="383"/>
      <c r="AI28" s="543"/>
      <c r="AJ28" s="548"/>
      <c r="AK28" s="548"/>
      <c r="AL28" s="198"/>
      <c r="AM28" s="320"/>
      <c r="AP28" s="198"/>
    </row>
    <row r="29" spans="1:43" s="61" customFormat="1" ht="24.95" customHeight="1">
      <c r="A29" s="253">
        <v>5</v>
      </c>
      <c r="B29" s="254" t="s">
        <v>81</v>
      </c>
      <c r="C29" s="255" t="s">
        <v>82</v>
      </c>
      <c r="D29" s="278" t="str">
        <f>VLOOKUP(B29,Attendance!$B$6:$D$385,3,0)</f>
        <v>Security Incharge</v>
      </c>
      <c r="E29" s="278" t="s">
        <v>74</v>
      </c>
      <c r="F29" s="523">
        <v>44849</v>
      </c>
      <c r="G29" s="257">
        <f>VLOOKUP(B29,Attendance!$B$6:$G$386,6,0)</f>
        <v>31</v>
      </c>
      <c r="H29" s="258">
        <f>VLOOKUP(B$8:B$380,Attendance!$B$6:$L$386,11,0)</f>
        <v>0</v>
      </c>
      <c r="I29" s="257">
        <f t="shared" si="13"/>
        <v>31</v>
      </c>
      <c r="J29" s="258">
        <f t="shared" si="14"/>
        <v>580.64516129032256</v>
      </c>
      <c r="K29" s="72">
        <v>18000</v>
      </c>
      <c r="L29" s="72">
        <f t="shared" si="15"/>
        <v>10800</v>
      </c>
      <c r="M29" s="72">
        <f t="shared" si="16"/>
        <v>5400</v>
      </c>
      <c r="N29" s="72">
        <f t="shared" si="17"/>
        <v>1080</v>
      </c>
      <c r="O29" s="72">
        <f t="shared" si="18"/>
        <v>720</v>
      </c>
      <c r="P29" s="259"/>
      <c r="Q29" s="260">
        <f t="shared" si="19"/>
        <v>18000</v>
      </c>
      <c r="R29" s="260">
        <f t="shared" si="20"/>
        <v>18000</v>
      </c>
      <c r="S29" s="261"/>
      <c r="T29" s="261"/>
      <c r="U29" s="262"/>
      <c r="V29" s="263">
        <f t="shared" si="21"/>
        <v>18000</v>
      </c>
      <c r="W29" s="72">
        <v>0</v>
      </c>
      <c r="X29" s="261">
        <f>IFERROR(VLOOKUP(B29,'Lunch bill'!$B$6:$H$30,7,0),0)</f>
        <v>0</v>
      </c>
      <c r="Y29" s="261">
        <f t="shared" si="22"/>
        <v>540</v>
      </c>
      <c r="Z29" s="261">
        <f>IFERROR(VLOOKUP(B29,'55 Bike '!$B$7:$J$139,9,0),0)</f>
        <v>0</v>
      </c>
      <c r="AA29" s="261"/>
      <c r="AB29" s="73">
        <f t="shared" si="23"/>
        <v>540</v>
      </c>
      <c r="AC29" s="73">
        <f t="shared" si="24"/>
        <v>17460</v>
      </c>
      <c r="AD29" s="264" t="s">
        <v>23</v>
      </c>
      <c r="AE29" s="256" t="s">
        <v>83</v>
      </c>
      <c r="AF29" s="838"/>
      <c r="AG29" s="205"/>
      <c r="AH29" s="383"/>
      <c r="AI29" s="543"/>
      <c r="AJ29" s="548"/>
      <c r="AK29" s="548"/>
      <c r="AL29" s="198"/>
      <c r="AM29" s="320"/>
      <c r="AP29" s="198"/>
    </row>
    <row r="30" spans="1:43" s="47" customFormat="1" ht="24.95" customHeight="1">
      <c r="A30" s="253">
        <v>6</v>
      </c>
      <c r="B30" s="254" t="s">
        <v>84</v>
      </c>
      <c r="C30" s="255" t="s">
        <v>85</v>
      </c>
      <c r="D30" s="278" t="str">
        <f>VLOOKUP(B30,Attendance!$B$6:$D$385,3,0)</f>
        <v>Office Assistant</v>
      </c>
      <c r="E30" s="278" t="s">
        <v>74</v>
      </c>
      <c r="F30" s="523">
        <v>44593</v>
      </c>
      <c r="G30" s="257">
        <f>VLOOKUP(B30,Attendance!$B$6:$G$386,6,0)</f>
        <v>31</v>
      </c>
      <c r="H30" s="258">
        <f>VLOOKUP(B$8:B$380,Attendance!$B$6:$L$386,11,0)</f>
        <v>0</v>
      </c>
      <c r="I30" s="257">
        <f t="shared" si="13"/>
        <v>31</v>
      </c>
      <c r="J30" s="258">
        <f t="shared" si="14"/>
        <v>483.87096774193549</v>
      </c>
      <c r="K30" s="72">
        <v>15000</v>
      </c>
      <c r="L30" s="72">
        <f t="shared" si="15"/>
        <v>9000</v>
      </c>
      <c r="M30" s="72">
        <f t="shared" si="16"/>
        <v>4500</v>
      </c>
      <c r="N30" s="72">
        <f t="shared" si="17"/>
        <v>900</v>
      </c>
      <c r="O30" s="72">
        <f t="shared" si="18"/>
        <v>600</v>
      </c>
      <c r="P30" s="259">
        <v>0</v>
      </c>
      <c r="Q30" s="260">
        <f t="shared" si="19"/>
        <v>15000</v>
      </c>
      <c r="R30" s="260">
        <f t="shared" si="20"/>
        <v>15000</v>
      </c>
      <c r="S30" s="261"/>
      <c r="T30" s="261"/>
      <c r="U30" s="262"/>
      <c r="V30" s="263">
        <f t="shared" si="21"/>
        <v>15000</v>
      </c>
      <c r="W30" s="72">
        <v>0</v>
      </c>
      <c r="X30" s="261">
        <f>IFERROR(VLOOKUP(B30,'Lunch bill'!$B$6:$H$30,7,0),0)</f>
        <v>0</v>
      </c>
      <c r="Y30" s="261">
        <f t="shared" si="22"/>
        <v>450</v>
      </c>
      <c r="Z30" s="261">
        <f>IFERROR(VLOOKUP(B30,'55 Bike '!$B$7:$J$139,9,0),0)</f>
        <v>0</v>
      </c>
      <c r="AA30" s="261"/>
      <c r="AB30" s="73">
        <f t="shared" si="23"/>
        <v>450</v>
      </c>
      <c r="AC30" s="73">
        <f t="shared" si="24"/>
        <v>14550</v>
      </c>
      <c r="AD30" s="264" t="s">
        <v>23</v>
      </c>
      <c r="AE30" s="256" t="s">
        <v>86</v>
      </c>
      <c r="AF30" s="838"/>
      <c r="AG30" s="205"/>
      <c r="AH30" s="383"/>
      <c r="AI30" s="543"/>
      <c r="AJ30" s="564"/>
      <c r="AK30" s="564"/>
      <c r="AL30" s="183"/>
      <c r="AM30" s="319"/>
      <c r="AN30" s="61"/>
      <c r="AO30" s="61"/>
      <c r="AP30" s="198"/>
      <c r="AQ30" s="61"/>
    </row>
    <row r="31" spans="1:43" s="61" customFormat="1" ht="24.95" customHeight="1">
      <c r="A31" s="253">
        <v>7</v>
      </c>
      <c r="B31" s="254" t="s">
        <v>855</v>
      </c>
      <c r="C31" s="255" t="s">
        <v>856</v>
      </c>
      <c r="D31" s="278" t="str">
        <f>VLOOKUP(B31,Attendance!$B$6:$D$385,3,0)</f>
        <v>Cleaner</v>
      </c>
      <c r="E31" s="278" t="s">
        <v>74</v>
      </c>
      <c r="F31" s="523">
        <v>44958</v>
      </c>
      <c r="G31" s="257">
        <f>VLOOKUP(B31,Attendance!$B$6:$G$386,6,0)</f>
        <v>31</v>
      </c>
      <c r="H31" s="258">
        <f>VLOOKUP(B$8:B$380,Attendance!$B$6:$L$386,11,0)</f>
        <v>0</v>
      </c>
      <c r="I31" s="257">
        <f t="shared" si="13"/>
        <v>31</v>
      </c>
      <c r="J31" s="258">
        <f t="shared" si="14"/>
        <v>435.48387096774195</v>
      </c>
      <c r="K31" s="72">
        <v>13500</v>
      </c>
      <c r="L31" s="72">
        <f t="shared" si="15"/>
        <v>8100</v>
      </c>
      <c r="M31" s="72">
        <f t="shared" si="16"/>
        <v>4050</v>
      </c>
      <c r="N31" s="72">
        <f t="shared" si="17"/>
        <v>810</v>
      </c>
      <c r="O31" s="72">
        <f t="shared" si="18"/>
        <v>540</v>
      </c>
      <c r="P31" s="259"/>
      <c r="Q31" s="260">
        <f t="shared" si="19"/>
        <v>13500</v>
      </c>
      <c r="R31" s="260">
        <f t="shared" si="20"/>
        <v>13500</v>
      </c>
      <c r="S31" s="261"/>
      <c r="T31" s="261">
        <v>3000</v>
      </c>
      <c r="U31" s="262"/>
      <c r="V31" s="263">
        <f t="shared" si="21"/>
        <v>16500</v>
      </c>
      <c r="W31" s="72">
        <v>0</v>
      </c>
      <c r="X31" s="261">
        <f>IFERROR(VLOOKUP(B31,'Lunch bill'!$B$6:$H$30,7,0),0)</f>
        <v>0</v>
      </c>
      <c r="Y31" s="261">
        <f t="shared" si="22"/>
        <v>405</v>
      </c>
      <c r="Z31" s="261">
        <f>IFERROR(VLOOKUP(B31,'55 Bike '!$B$7:$J$139,9,0),0)</f>
        <v>0</v>
      </c>
      <c r="AA31" s="261"/>
      <c r="AB31" s="73">
        <f t="shared" si="23"/>
        <v>405</v>
      </c>
      <c r="AC31" s="73">
        <f t="shared" si="24"/>
        <v>16095</v>
      </c>
      <c r="AD31" s="264" t="s">
        <v>23</v>
      </c>
      <c r="AE31" s="256" t="s">
        <v>870</v>
      </c>
      <c r="AF31" s="838"/>
      <c r="AG31" s="205"/>
      <c r="AH31" s="383"/>
      <c r="AI31" s="543"/>
      <c r="AJ31" s="548"/>
      <c r="AK31" s="548"/>
      <c r="AL31" s="198"/>
      <c r="AM31" s="320"/>
      <c r="AP31" s="198"/>
    </row>
    <row r="32" spans="1:43" s="61" customFormat="1" ht="24.95" customHeight="1">
      <c r="A32" s="253">
        <v>8</v>
      </c>
      <c r="B32" s="254" t="s">
        <v>1174</v>
      </c>
      <c r="C32" s="255" t="s">
        <v>1175</v>
      </c>
      <c r="D32" s="278" t="str">
        <f>VLOOKUP(B32,Attendance!$B$6:$D$385,3,0)</f>
        <v>HR Officer</v>
      </c>
      <c r="E32" s="278" t="s">
        <v>70</v>
      </c>
      <c r="F32" s="523">
        <v>45323</v>
      </c>
      <c r="G32" s="257">
        <f>VLOOKUP(B32,Attendance!$B$6:$G$386,6,0)</f>
        <v>31</v>
      </c>
      <c r="H32" s="258">
        <f>VLOOKUP(B$8:B$380,Attendance!$B$6:$L$386,11,0)</f>
        <v>23</v>
      </c>
      <c r="I32" s="257">
        <f t="shared" si="13"/>
        <v>8</v>
      </c>
      <c r="J32" s="258">
        <f t="shared" si="14"/>
        <v>645.16129032258061</v>
      </c>
      <c r="K32" s="72">
        <v>20000</v>
      </c>
      <c r="L32" s="72">
        <f t="shared" si="15"/>
        <v>12000</v>
      </c>
      <c r="M32" s="72">
        <f t="shared" si="16"/>
        <v>6000</v>
      </c>
      <c r="N32" s="72">
        <f t="shared" si="17"/>
        <v>1200</v>
      </c>
      <c r="O32" s="72">
        <f t="shared" si="18"/>
        <v>800</v>
      </c>
      <c r="P32" s="259"/>
      <c r="Q32" s="260">
        <f t="shared" si="19"/>
        <v>20000</v>
      </c>
      <c r="R32" s="260">
        <f t="shared" si="20"/>
        <v>5161</v>
      </c>
      <c r="S32" s="261"/>
      <c r="T32" s="261"/>
      <c r="U32" s="262"/>
      <c r="V32" s="263">
        <f t="shared" si="21"/>
        <v>5161</v>
      </c>
      <c r="W32" s="72">
        <v>0</v>
      </c>
      <c r="X32" s="261">
        <f>IFERROR(VLOOKUP(B32,'Lunch bill'!$B$6:$H$30,7,0),0)</f>
        <v>375</v>
      </c>
      <c r="Y32" s="261">
        <f t="shared" si="22"/>
        <v>0</v>
      </c>
      <c r="Z32" s="261">
        <f>IFERROR(VLOOKUP(B32,'55 Bike '!$B$7:$J$139,9,0),0)</f>
        <v>0</v>
      </c>
      <c r="AA32" s="261"/>
      <c r="AB32" s="73">
        <f t="shared" si="23"/>
        <v>375</v>
      </c>
      <c r="AC32" s="73">
        <f t="shared" si="24"/>
        <v>4786</v>
      </c>
      <c r="AD32" s="264" t="s">
        <v>23</v>
      </c>
      <c r="AE32" s="256" t="s">
        <v>1250</v>
      </c>
      <c r="AF32" s="838"/>
      <c r="AG32" s="205"/>
      <c r="AH32" s="383"/>
      <c r="AI32" s="543"/>
      <c r="AJ32" s="548"/>
      <c r="AK32" s="548"/>
      <c r="AL32" s="198"/>
      <c r="AM32" s="320"/>
      <c r="AP32" s="198"/>
    </row>
    <row r="33" spans="1:43" s="61" customFormat="1" ht="24.95" customHeight="1">
      <c r="A33" s="253">
        <v>9</v>
      </c>
      <c r="B33" s="254" t="s">
        <v>1361</v>
      </c>
      <c r="C33" s="255" t="s">
        <v>1362</v>
      </c>
      <c r="D33" s="278" t="s">
        <v>463</v>
      </c>
      <c r="E33" s="278" t="s">
        <v>74</v>
      </c>
      <c r="F33" s="523">
        <v>45467</v>
      </c>
      <c r="G33" s="257">
        <f>VLOOKUP(B33,Attendance!$B$6:$G$386,6,0)</f>
        <v>31</v>
      </c>
      <c r="H33" s="258">
        <f>VLOOKUP(B$8:B$380,Attendance!$B$6:$L$386,11,0)</f>
        <v>0</v>
      </c>
      <c r="I33" s="257">
        <f t="shared" si="13"/>
        <v>31</v>
      </c>
      <c r="J33" s="258">
        <f t="shared" si="14"/>
        <v>516.12903225806451</v>
      </c>
      <c r="K33" s="72">
        <v>16000</v>
      </c>
      <c r="L33" s="72">
        <f t="shared" si="15"/>
        <v>9600</v>
      </c>
      <c r="M33" s="72">
        <f t="shared" si="16"/>
        <v>4800</v>
      </c>
      <c r="N33" s="72">
        <f t="shared" si="17"/>
        <v>960</v>
      </c>
      <c r="O33" s="72">
        <f t="shared" si="18"/>
        <v>640</v>
      </c>
      <c r="P33" s="259"/>
      <c r="Q33" s="260">
        <f t="shared" si="19"/>
        <v>16000</v>
      </c>
      <c r="R33" s="260">
        <f t="shared" si="20"/>
        <v>16000</v>
      </c>
      <c r="S33" s="261"/>
      <c r="T33" s="766">
        <v>3000</v>
      </c>
      <c r="U33" s="262"/>
      <c r="V33" s="263">
        <f t="shared" si="21"/>
        <v>19000</v>
      </c>
      <c r="W33" s="72">
        <v>0</v>
      </c>
      <c r="X33" s="261">
        <f>IFERROR(VLOOKUP(B33,'Lunch bill'!$B$6:$H$30,7,0),0)</f>
        <v>0</v>
      </c>
      <c r="Y33" s="261">
        <f t="shared" si="22"/>
        <v>0</v>
      </c>
      <c r="Z33" s="261">
        <f>IFERROR(VLOOKUP(B33,'55 Bike '!$B$7:$J$139,9,0),0)</f>
        <v>0</v>
      </c>
      <c r="AA33" s="261"/>
      <c r="AB33" s="73">
        <f t="shared" si="23"/>
        <v>0</v>
      </c>
      <c r="AC33" s="73">
        <f t="shared" si="24"/>
        <v>19000</v>
      </c>
      <c r="AD33" s="264" t="s">
        <v>23</v>
      </c>
      <c r="AE33" s="256" t="s">
        <v>1464</v>
      </c>
      <c r="AF33" s="838"/>
      <c r="AG33" s="205"/>
      <c r="AH33" s="383"/>
      <c r="AI33" s="543"/>
      <c r="AJ33" s="548"/>
      <c r="AK33" s="549"/>
      <c r="AL33" s="198"/>
      <c r="AM33" s="320"/>
      <c r="AP33" s="198"/>
    </row>
    <row r="34" spans="1:43" s="47" customFormat="1" ht="24.95" customHeight="1">
      <c r="A34" s="253">
        <v>10</v>
      </c>
      <c r="B34" s="254" t="s">
        <v>1449</v>
      </c>
      <c r="C34" s="255" t="s">
        <v>1450</v>
      </c>
      <c r="D34" s="278" t="s">
        <v>437</v>
      </c>
      <c r="E34" s="278" t="s">
        <v>70</v>
      </c>
      <c r="F34" s="523">
        <v>45477</v>
      </c>
      <c r="G34" s="257">
        <f>VLOOKUP(B34,Attendance!$B$6:$G$386,6,0)</f>
        <v>31</v>
      </c>
      <c r="H34" s="258">
        <f>VLOOKUP(B$8:B$380,Attendance!$B$6:$L$386,11,0)</f>
        <v>0</v>
      </c>
      <c r="I34" s="257">
        <f t="shared" si="13"/>
        <v>31</v>
      </c>
      <c r="J34" s="258">
        <f t="shared" si="14"/>
        <v>4838.7096774193551</v>
      </c>
      <c r="K34" s="72">
        <v>150000</v>
      </c>
      <c r="L34" s="72">
        <f t="shared" si="15"/>
        <v>90000</v>
      </c>
      <c r="M34" s="72">
        <f t="shared" si="16"/>
        <v>45000</v>
      </c>
      <c r="N34" s="72">
        <f t="shared" si="17"/>
        <v>9000</v>
      </c>
      <c r="O34" s="72">
        <f t="shared" si="18"/>
        <v>6000</v>
      </c>
      <c r="P34" s="259"/>
      <c r="Q34" s="260">
        <f t="shared" si="19"/>
        <v>150000</v>
      </c>
      <c r="R34" s="260">
        <f t="shared" si="20"/>
        <v>150000</v>
      </c>
      <c r="S34" s="261"/>
      <c r="T34" s="261"/>
      <c r="U34" s="262"/>
      <c r="V34" s="263">
        <f t="shared" si="21"/>
        <v>150000</v>
      </c>
      <c r="W34" s="72">
        <v>10625.571428571429</v>
      </c>
      <c r="X34" s="261">
        <f>IFERROR(VLOOKUP(B34,'Lunch bill'!$B$6:$H$30,7,0),0)</f>
        <v>0</v>
      </c>
      <c r="Y34" s="261">
        <f t="shared" si="22"/>
        <v>0</v>
      </c>
      <c r="Z34" s="261">
        <f>IFERROR(VLOOKUP(B34,'55 Bike '!$B$7:$J$139,9,0),0)</f>
        <v>0</v>
      </c>
      <c r="AA34" s="261"/>
      <c r="AB34" s="73">
        <f t="shared" si="23"/>
        <v>10625.571428571429</v>
      </c>
      <c r="AC34" s="73">
        <f t="shared" si="24"/>
        <v>139374</v>
      </c>
      <c r="AD34" s="264" t="s">
        <v>23</v>
      </c>
      <c r="AE34" s="256" t="s">
        <v>1463</v>
      </c>
      <c r="AF34" s="838"/>
      <c r="AG34" s="205"/>
      <c r="AH34" s="383"/>
      <c r="AI34" s="543"/>
      <c r="AJ34" s="564"/>
      <c r="AK34" s="547"/>
      <c r="AL34" s="183"/>
      <c r="AM34" s="319"/>
      <c r="AN34" s="61"/>
      <c r="AO34" s="61"/>
      <c r="AP34" s="198"/>
      <c r="AQ34" s="61"/>
    </row>
    <row r="35" spans="1:43" s="30" customFormat="1" ht="24.95" customHeight="1">
      <c r="A35" s="101" t="s">
        <v>67</v>
      </c>
      <c r="B35" s="102"/>
      <c r="C35" s="103"/>
      <c r="D35" s="282"/>
      <c r="E35" s="282"/>
      <c r="F35" s="526"/>
      <c r="G35" s="106"/>
      <c r="H35" s="106"/>
      <c r="I35" s="106"/>
      <c r="J35" s="106"/>
      <c r="K35" s="107">
        <f t="shared" ref="K35:AC35" si="25">SUM(K25:K34)</f>
        <v>353000</v>
      </c>
      <c r="L35" s="107">
        <f t="shared" si="25"/>
        <v>211800</v>
      </c>
      <c r="M35" s="107">
        <f t="shared" si="25"/>
        <v>105900</v>
      </c>
      <c r="N35" s="107">
        <f t="shared" si="25"/>
        <v>21180</v>
      </c>
      <c r="O35" s="107">
        <f t="shared" si="25"/>
        <v>14120</v>
      </c>
      <c r="P35" s="107">
        <f t="shared" si="25"/>
        <v>0</v>
      </c>
      <c r="Q35" s="107">
        <f t="shared" si="25"/>
        <v>353000</v>
      </c>
      <c r="R35" s="107">
        <f t="shared" si="25"/>
        <v>338161</v>
      </c>
      <c r="S35" s="107">
        <f t="shared" si="25"/>
        <v>0</v>
      </c>
      <c r="T35" s="107">
        <f t="shared" si="25"/>
        <v>9000</v>
      </c>
      <c r="U35" s="107">
        <f t="shared" si="25"/>
        <v>0</v>
      </c>
      <c r="V35" s="107">
        <f t="shared" si="25"/>
        <v>347161</v>
      </c>
      <c r="W35" s="107">
        <f t="shared" si="25"/>
        <v>11042.571428571429</v>
      </c>
      <c r="X35" s="107">
        <f t="shared" si="25"/>
        <v>375</v>
      </c>
      <c r="Y35" s="107">
        <f t="shared" si="25"/>
        <v>5010</v>
      </c>
      <c r="Z35" s="107">
        <f t="shared" si="25"/>
        <v>0</v>
      </c>
      <c r="AA35" s="107">
        <f t="shared" si="25"/>
        <v>10000</v>
      </c>
      <c r="AB35" s="107">
        <f t="shared" si="25"/>
        <v>26427.571428571428</v>
      </c>
      <c r="AC35" s="107">
        <f t="shared" si="25"/>
        <v>320733</v>
      </c>
      <c r="AD35" s="107"/>
      <c r="AE35" s="107"/>
      <c r="AF35" s="838"/>
      <c r="AG35" s="797"/>
      <c r="AH35" s="383"/>
      <c r="AI35" s="543" t="s">
        <v>1186</v>
      </c>
      <c r="AJ35" s="548"/>
      <c r="AK35" s="549"/>
      <c r="AL35" s="198"/>
      <c r="AM35" s="320"/>
      <c r="AN35" s="61"/>
      <c r="AO35" s="61"/>
      <c r="AP35" s="198"/>
      <c r="AQ35" s="61"/>
    </row>
    <row r="36" spans="1:43" s="47" customFormat="1" ht="24.95" customHeight="1">
      <c r="A36" s="89" t="s">
        <v>949</v>
      </c>
      <c r="B36" s="90"/>
      <c r="C36" s="90"/>
      <c r="D36" s="281"/>
      <c r="E36" s="497"/>
      <c r="F36" s="530"/>
      <c r="G36" s="90"/>
      <c r="H36" s="267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268"/>
      <c r="V36" s="90"/>
      <c r="W36" s="90"/>
      <c r="X36" s="268"/>
      <c r="Y36" s="267"/>
      <c r="Z36" s="268"/>
      <c r="AA36" s="268"/>
      <c r="AB36" s="268"/>
      <c r="AC36" s="90"/>
      <c r="AD36" s="90"/>
      <c r="AE36" s="91"/>
      <c r="AF36" s="838"/>
      <c r="AG36" s="90"/>
      <c r="AH36" s="383"/>
      <c r="AI36" s="543"/>
      <c r="AJ36" s="548"/>
      <c r="AK36" s="549"/>
      <c r="AL36" s="198"/>
      <c r="AM36" s="320"/>
      <c r="AN36" s="61"/>
      <c r="AO36" s="61"/>
      <c r="AP36" s="198"/>
      <c r="AQ36" s="61"/>
    </row>
    <row r="37" spans="1:43" s="61" customFormat="1" ht="24.95" customHeight="1">
      <c r="A37" s="508">
        <v>1</v>
      </c>
      <c r="B37" s="502" t="s">
        <v>90</v>
      </c>
      <c r="C37" s="329" t="s">
        <v>91</v>
      </c>
      <c r="D37" s="511" t="str">
        <f>VLOOKUP(B37,Attendance!$B$6:$D$385,3,0)</f>
        <v>Senior Manager</v>
      </c>
      <c r="E37" s="330" t="s">
        <v>92</v>
      </c>
      <c r="F37" s="529">
        <v>44607</v>
      </c>
      <c r="G37" s="286">
        <f>VLOOKUP(B37,Attendance!$B$6:$G$386,6,0)</f>
        <v>31</v>
      </c>
      <c r="H37" s="332">
        <f>VLOOKUP(B$8:B$380,Attendance!$B$6:$L$385,11,0)</f>
        <v>0</v>
      </c>
      <c r="I37" s="286">
        <f>G37-H37</f>
        <v>31</v>
      </c>
      <c r="J37" s="332">
        <f>Q37/G37</f>
        <v>3548.3870967741937</v>
      </c>
      <c r="K37" s="58">
        <v>110000</v>
      </c>
      <c r="L37" s="58">
        <f>K37*60%</f>
        <v>66000</v>
      </c>
      <c r="M37" s="58">
        <f>K37*30%</f>
        <v>33000</v>
      </c>
      <c r="N37" s="58">
        <f>K37*6%</f>
        <v>6600</v>
      </c>
      <c r="O37" s="58">
        <f>K37*4%</f>
        <v>4400</v>
      </c>
      <c r="P37" s="333">
        <v>0</v>
      </c>
      <c r="Q37" s="334">
        <f>SUM(L37:P37)</f>
        <v>110000</v>
      </c>
      <c r="R37" s="334">
        <f>ROUND(I37*J37,)</f>
        <v>110000</v>
      </c>
      <c r="S37" s="393"/>
      <c r="T37" s="393"/>
      <c r="U37" s="263"/>
      <c r="V37" s="335">
        <f>SUM(R37:U37)</f>
        <v>110000</v>
      </c>
      <c r="W37" s="58">
        <v>3145</v>
      </c>
      <c r="X37" s="261">
        <f>IFERROR(VLOOKUP(B37,'Lunch bill'!$B$6:$H$30,7,0),0)</f>
        <v>0</v>
      </c>
      <c r="Y37" s="261">
        <f>ROUND(IF($AH$4-F37&gt;=360,L37*5%,0),0)</f>
        <v>3300</v>
      </c>
      <c r="Z37" s="261">
        <f>IFERROR(VLOOKUP(B37,'55 Bike '!$B$7:$J$139,9,0),0)</f>
        <v>0</v>
      </c>
      <c r="AA37" s="337"/>
      <c r="AB37" s="193">
        <f>SUM(W37:AA37)</f>
        <v>6445</v>
      </c>
      <c r="AC37" s="59">
        <f>ROUND(V37-AB37,0)</f>
        <v>103555</v>
      </c>
      <c r="AD37" s="504" t="s">
        <v>23</v>
      </c>
      <c r="AE37" s="331" t="s">
        <v>93</v>
      </c>
      <c r="AF37" s="838"/>
      <c r="AG37" s="205"/>
      <c r="AH37" s="383"/>
      <c r="AI37" s="543"/>
      <c r="AJ37" s="548"/>
      <c r="AK37" s="548"/>
      <c r="AL37" s="198"/>
      <c r="AM37" s="320"/>
      <c r="AP37" s="198"/>
    </row>
    <row r="38" spans="1:43" s="61" customFormat="1" ht="24.95" customHeight="1">
      <c r="A38" s="253">
        <v>2</v>
      </c>
      <c r="B38" s="254" t="s">
        <v>257</v>
      </c>
      <c r="C38" s="255" t="s">
        <v>258</v>
      </c>
      <c r="D38" s="278" t="str">
        <f>VLOOKUP(B38,Attendance!$B$6:$D$385,3,0)</f>
        <v>Manager</v>
      </c>
      <c r="E38" s="278" t="s">
        <v>259</v>
      </c>
      <c r="F38" s="523">
        <v>43862</v>
      </c>
      <c r="G38" s="257">
        <f>VLOOKUP(B38,Attendance!$B$6:$G$386,6,0)</f>
        <v>31</v>
      </c>
      <c r="H38" s="258">
        <f>VLOOKUP(B$8:B$380,Attendance!$B$6:$L$386,11,0)</f>
        <v>0</v>
      </c>
      <c r="I38" s="257">
        <f>G38-H38</f>
        <v>31</v>
      </c>
      <c r="J38" s="258">
        <f>Q38/G38</f>
        <v>2419.3548387096776</v>
      </c>
      <c r="K38" s="72">
        <v>75000</v>
      </c>
      <c r="L38" s="72">
        <f>K38*60%</f>
        <v>45000</v>
      </c>
      <c r="M38" s="72">
        <f>K38*30%</f>
        <v>22500</v>
      </c>
      <c r="N38" s="72">
        <f>K38*6%</f>
        <v>4500</v>
      </c>
      <c r="O38" s="72">
        <f>K38*4%</f>
        <v>3000</v>
      </c>
      <c r="P38" s="259">
        <v>0</v>
      </c>
      <c r="Q38" s="260">
        <f>SUM(L38:P38)</f>
        <v>75000</v>
      </c>
      <c r="R38" s="260">
        <f>ROUND(I38*J38,)</f>
        <v>75000</v>
      </c>
      <c r="S38" s="261"/>
      <c r="T38" s="261">
        <v>0</v>
      </c>
      <c r="U38" s="263"/>
      <c r="V38" s="263">
        <f>SUM(R38:U38)</f>
        <v>75000</v>
      </c>
      <c r="W38" s="72">
        <v>517</v>
      </c>
      <c r="X38" s="261">
        <f>IFERROR(VLOOKUP(B38,'Lunch bill'!$B$6:$H$30,7,0),0)</f>
        <v>1875</v>
      </c>
      <c r="Y38" s="261">
        <f>ROUND(IF($AH$4-F38&gt;=360,L38*5%,0),0)</f>
        <v>2250</v>
      </c>
      <c r="Z38" s="261">
        <f>IFERROR(VLOOKUP(B38,'55 Bike '!$B$7:$J$139,9,0),0)</f>
        <v>0</v>
      </c>
      <c r="AA38" s="261"/>
      <c r="AB38" s="73">
        <f>SUM(W38:AA38)</f>
        <v>4642</v>
      </c>
      <c r="AC38" s="73">
        <f>ROUND(V38-AB38,0)</f>
        <v>70358</v>
      </c>
      <c r="AD38" s="264" t="s">
        <v>23</v>
      </c>
      <c r="AE38" s="256" t="s">
        <v>260</v>
      </c>
      <c r="AF38" s="838"/>
      <c r="AG38" s="205"/>
      <c r="AH38" s="383"/>
      <c r="AI38" s="543"/>
      <c r="AJ38" s="548"/>
      <c r="AK38" s="548"/>
      <c r="AL38" s="198"/>
      <c r="AM38" s="320"/>
      <c r="AP38" s="198"/>
    </row>
    <row r="39" spans="1:43" s="47" customFormat="1" ht="24.95" customHeight="1">
      <c r="A39" s="253">
        <v>3</v>
      </c>
      <c r="B39" s="254" t="s">
        <v>654</v>
      </c>
      <c r="C39" s="255" t="s">
        <v>655</v>
      </c>
      <c r="D39" s="278" t="str">
        <f>VLOOKUP(B39,Attendance!$B$6:$D$385,3,0)</f>
        <v>Deputy Manager</v>
      </c>
      <c r="E39" s="278" t="s">
        <v>634</v>
      </c>
      <c r="F39" s="523">
        <v>45048</v>
      </c>
      <c r="G39" s="257">
        <f>VLOOKUP(B39,Attendance!$B$6:$G$386,6,0)</f>
        <v>31</v>
      </c>
      <c r="H39" s="258">
        <f>VLOOKUP(B$8:B$380,Attendance!$B$6:$L$386,11,0)</f>
        <v>0</v>
      </c>
      <c r="I39" s="257">
        <f>G39-H39</f>
        <v>31</v>
      </c>
      <c r="J39" s="258">
        <f>Q39/G39</f>
        <v>1225.8064516129032</v>
      </c>
      <c r="K39" s="72">
        <v>38000</v>
      </c>
      <c r="L39" s="72">
        <f>K39*60%</f>
        <v>22800</v>
      </c>
      <c r="M39" s="72">
        <f>K39*30%</f>
        <v>11400</v>
      </c>
      <c r="N39" s="72">
        <f>K39*6%</f>
        <v>2280</v>
      </c>
      <c r="O39" s="72">
        <f>K39*4%</f>
        <v>1520</v>
      </c>
      <c r="P39" s="259"/>
      <c r="Q39" s="260">
        <f>SUM(L39:P39)</f>
        <v>38000</v>
      </c>
      <c r="R39" s="260">
        <f>ROUND(I39*J39,)</f>
        <v>38000</v>
      </c>
      <c r="S39" s="261"/>
      <c r="T39" s="261"/>
      <c r="U39" s="263"/>
      <c r="V39" s="263">
        <f>SUM(R39:U39)</f>
        <v>38000</v>
      </c>
      <c r="W39" s="72">
        <v>0</v>
      </c>
      <c r="X39" s="261">
        <f>IFERROR(VLOOKUP(B39,'Lunch bill'!$B$6:$H$30,7,0),0)</f>
        <v>0</v>
      </c>
      <c r="Y39" s="261">
        <f>ROUND(IF($AH$4-F39&gt;=360,L39*5%,0),0)</f>
        <v>1140</v>
      </c>
      <c r="Z39" s="261">
        <f>IFERROR(VLOOKUP(B39,'55 Bike '!$B$7:$J$139,9,0),0)</f>
        <v>0</v>
      </c>
      <c r="AA39" s="261">
        <v>2000</v>
      </c>
      <c r="AB39" s="73">
        <f>SUM(W39:AA39)</f>
        <v>3140</v>
      </c>
      <c r="AC39" s="73">
        <f>ROUND(V39-AB39,0)</f>
        <v>34860</v>
      </c>
      <c r="AD39" s="264" t="s">
        <v>23</v>
      </c>
      <c r="AE39" s="256" t="s">
        <v>635</v>
      </c>
      <c r="AF39" s="838"/>
      <c r="AG39" s="205"/>
      <c r="AH39" s="383"/>
      <c r="AI39" s="543"/>
      <c r="AJ39" s="564"/>
      <c r="AK39" s="564"/>
      <c r="AL39" s="183"/>
      <c r="AM39" s="319"/>
      <c r="AN39" s="61"/>
      <c r="AO39" s="61"/>
      <c r="AP39" s="198"/>
      <c r="AQ39" s="61"/>
    </row>
    <row r="40" spans="1:43" s="61" customFormat="1" ht="24.95" customHeight="1">
      <c r="A40" s="101" t="s">
        <v>67</v>
      </c>
      <c r="B40" s="102"/>
      <c r="C40" s="103"/>
      <c r="D40" s="282"/>
      <c r="E40" s="282"/>
      <c r="F40" s="526"/>
      <c r="G40" s="105"/>
      <c r="H40" s="105"/>
      <c r="I40" s="105"/>
      <c r="J40" s="105"/>
      <c r="K40" s="107">
        <f t="shared" ref="K40:AC40" si="26">SUM(K37:K39)</f>
        <v>223000</v>
      </c>
      <c r="L40" s="107">
        <f t="shared" si="26"/>
        <v>133800</v>
      </c>
      <c r="M40" s="107">
        <f t="shared" si="26"/>
        <v>66900</v>
      </c>
      <c r="N40" s="107">
        <f t="shared" si="26"/>
        <v>13380</v>
      </c>
      <c r="O40" s="107">
        <f t="shared" si="26"/>
        <v>8920</v>
      </c>
      <c r="P40" s="107">
        <f t="shared" si="26"/>
        <v>0</v>
      </c>
      <c r="Q40" s="107">
        <f t="shared" si="26"/>
        <v>223000</v>
      </c>
      <c r="R40" s="107">
        <f t="shared" si="26"/>
        <v>223000</v>
      </c>
      <c r="S40" s="107">
        <f t="shared" si="26"/>
        <v>0</v>
      </c>
      <c r="T40" s="107">
        <f t="shared" si="26"/>
        <v>0</v>
      </c>
      <c r="U40" s="107">
        <f t="shared" si="26"/>
        <v>0</v>
      </c>
      <c r="V40" s="107">
        <f t="shared" si="26"/>
        <v>223000</v>
      </c>
      <c r="W40" s="107">
        <f t="shared" si="26"/>
        <v>3662</v>
      </c>
      <c r="X40" s="107">
        <f t="shared" si="26"/>
        <v>1875</v>
      </c>
      <c r="Y40" s="107">
        <f t="shared" si="26"/>
        <v>6690</v>
      </c>
      <c r="Z40" s="107">
        <f t="shared" si="26"/>
        <v>0</v>
      </c>
      <c r="AA40" s="107">
        <f t="shared" si="26"/>
        <v>2000</v>
      </c>
      <c r="AB40" s="107">
        <f t="shared" si="26"/>
        <v>14227</v>
      </c>
      <c r="AC40" s="107">
        <f t="shared" si="26"/>
        <v>208773</v>
      </c>
      <c r="AD40" s="107"/>
      <c r="AE40" s="113"/>
      <c r="AF40" s="838"/>
      <c r="AG40" s="199"/>
      <c r="AH40" s="383"/>
      <c r="AI40" s="543"/>
      <c r="AJ40" s="548"/>
      <c r="AK40" s="549"/>
      <c r="AL40" s="198"/>
      <c r="AM40" s="320"/>
      <c r="AP40" s="198"/>
    </row>
    <row r="41" spans="1:43" s="47" customFormat="1" ht="24.95" customHeight="1">
      <c r="A41" s="89" t="s">
        <v>94</v>
      </c>
      <c r="B41" s="90"/>
      <c r="C41" s="90"/>
      <c r="D41" s="281"/>
      <c r="E41" s="497"/>
      <c r="F41" s="530"/>
      <c r="G41" s="90"/>
      <c r="H41" s="267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268"/>
      <c r="V41" s="90"/>
      <c r="W41" s="90"/>
      <c r="X41" s="268"/>
      <c r="Y41" s="267"/>
      <c r="Z41" s="268"/>
      <c r="AA41" s="268"/>
      <c r="AB41" s="90"/>
      <c r="AC41" s="90"/>
      <c r="AD41" s="90"/>
      <c r="AE41" s="91"/>
      <c r="AF41" s="838"/>
      <c r="AG41" s="90"/>
      <c r="AH41" s="383"/>
      <c r="AI41" s="543"/>
      <c r="AJ41" s="548"/>
      <c r="AK41" s="549"/>
      <c r="AL41" s="198"/>
      <c r="AM41" s="320"/>
      <c r="AN41" s="61"/>
      <c r="AO41" s="61"/>
      <c r="AP41" s="198"/>
      <c r="AQ41" s="61"/>
    </row>
    <row r="42" spans="1:43" s="61" customFormat="1" ht="24.95" customHeight="1">
      <c r="A42" s="508">
        <v>1</v>
      </c>
      <c r="B42" s="502" t="s">
        <v>95</v>
      </c>
      <c r="C42" s="329" t="s">
        <v>96</v>
      </c>
      <c r="D42" s="330" t="str">
        <f>VLOOKUP(B42,Attendance!$B$6:$D$385,3,0)</f>
        <v>Mechanic</v>
      </c>
      <c r="E42" s="330" t="s">
        <v>97</v>
      </c>
      <c r="F42" s="529">
        <v>44362</v>
      </c>
      <c r="G42" s="286">
        <f>VLOOKUP(B42,Attendance!$B$6:$G$386,6,0)</f>
        <v>31</v>
      </c>
      <c r="H42" s="332">
        <f>VLOOKUP(B$8:B$380,Attendance!$B$6:$L$385,11,0)</f>
        <v>0</v>
      </c>
      <c r="I42" s="286">
        <f t="shared" ref="I42:I67" si="27">G42-H42</f>
        <v>31</v>
      </c>
      <c r="J42" s="332">
        <f t="shared" ref="J42:J67" si="28">Q42/G42</f>
        <v>774.19354838709683</v>
      </c>
      <c r="K42" s="58">
        <v>24000</v>
      </c>
      <c r="L42" s="58">
        <f t="shared" ref="L42:L67" si="29">K42*60%</f>
        <v>14400</v>
      </c>
      <c r="M42" s="58">
        <f t="shared" ref="M42:M67" si="30">K42*30%</f>
        <v>7200</v>
      </c>
      <c r="N42" s="58">
        <f t="shared" ref="N42:N67" si="31">K42*6%</f>
        <v>1440</v>
      </c>
      <c r="O42" s="58">
        <f t="shared" ref="O42:O67" si="32">K42*4%</f>
        <v>960</v>
      </c>
      <c r="P42" s="333">
        <v>0</v>
      </c>
      <c r="Q42" s="334">
        <f t="shared" ref="Q42:Q67" si="33">SUM(L42:P42)</f>
        <v>24000</v>
      </c>
      <c r="R42" s="334">
        <f t="shared" ref="R42:R67" si="34">ROUND(I42*J42,)</f>
        <v>24000</v>
      </c>
      <c r="S42" s="393"/>
      <c r="T42" s="393"/>
      <c r="U42" s="262"/>
      <c r="V42" s="335">
        <f t="shared" ref="V42:V67" si="35">SUM(R42:U42)</f>
        <v>24000</v>
      </c>
      <c r="W42" s="58">
        <v>0</v>
      </c>
      <c r="X42" s="261">
        <f>IFERROR(VLOOKUP(B42,'Lunch bill'!$B$6:$H$30,7,0),0)</f>
        <v>0</v>
      </c>
      <c r="Y42" s="261">
        <f t="shared" ref="Y42:Y60" si="36">ROUND(IF($AH$4-F42&gt;=360,L42*5%,0),0)</f>
        <v>720</v>
      </c>
      <c r="Z42" s="261">
        <f>IFERROR(VLOOKUP(B42,'55 Bike '!$B$7:$J$139,9,0),0)</f>
        <v>2000</v>
      </c>
      <c r="AA42" s="337"/>
      <c r="AB42" s="59">
        <f t="shared" ref="AB42:AB67" si="37">SUM(W42:AA42)</f>
        <v>2720</v>
      </c>
      <c r="AC42" s="59">
        <f t="shared" ref="AC42:AC67" si="38">ROUND(V42-AB42,0)</f>
        <v>21280</v>
      </c>
      <c r="AD42" s="504" t="s">
        <v>23</v>
      </c>
      <c r="AE42" s="331" t="s">
        <v>98</v>
      </c>
      <c r="AF42" s="838"/>
      <c r="AG42" s="205"/>
      <c r="AH42" s="383"/>
      <c r="AI42" s="543"/>
      <c r="AJ42" s="548"/>
      <c r="AK42" s="548"/>
      <c r="AL42" s="198"/>
      <c r="AM42" s="320"/>
      <c r="AP42" s="198"/>
    </row>
    <row r="43" spans="1:43" s="61" customFormat="1" ht="24.95" customHeight="1">
      <c r="A43" s="253">
        <v>2</v>
      </c>
      <c r="B43" s="254" t="s">
        <v>99</v>
      </c>
      <c r="C43" s="255" t="s">
        <v>100</v>
      </c>
      <c r="D43" s="278" t="str">
        <f>VLOOKUP(B43,Attendance!$B$6:$D$385,3,0)</f>
        <v>Mechanic</v>
      </c>
      <c r="E43" s="278" t="s">
        <v>97</v>
      </c>
      <c r="F43" s="523">
        <v>44602</v>
      </c>
      <c r="G43" s="257">
        <f>VLOOKUP(B43,Attendance!$B$6:$G$386,6,0)</f>
        <v>31</v>
      </c>
      <c r="H43" s="258">
        <f>VLOOKUP(B$8:B$380,Attendance!$B$6:$L$386,11,0)</f>
        <v>0</v>
      </c>
      <c r="I43" s="257">
        <f t="shared" si="27"/>
        <v>31</v>
      </c>
      <c r="J43" s="258">
        <f t="shared" si="28"/>
        <v>725.80645161290317</v>
      </c>
      <c r="K43" s="72">
        <v>22500</v>
      </c>
      <c r="L43" s="72">
        <f t="shared" si="29"/>
        <v>13500</v>
      </c>
      <c r="M43" s="72">
        <f t="shared" si="30"/>
        <v>6750</v>
      </c>
      <c r="N43" s="72">
        <f t="shared" si="31"/>
        <v>1350</v>
      </c>
      <c r="O43" s="72">
        <f t="shared" si="32"/>
        <v>900</v>
      </c>
      <c r="P43" s="259">
        <v>0</v>
      </c>
      <c r="Q43" s="260">
        <f t="shared" si="33"/>
        <v>22500</v>
      </c>
      <c r="R43" s="260">
        <f t="shared" si="34"/>
        <v>22500</v>
      </c>
      <c r="S43" s="261"/>
      <c r="T43" s="261"/>
      <c r="U43" s="262"/>
      <c r="V43" s="263">
        <f t="shared" si="35"/>
        <v>22500</v>
      </c>
      <c r="W43" s="72">
        <v>0</v>
      </c>
      <c r="X43" s="261">
        <f>IFERROR(VLOOKUP(B43,'Lunch bill'!$B$6:$H$30,7,0),0)</f>
        <v>0</v>
      </c>
      <c r="Y43" s="261">
        <f t="shared" si="36"/>
        <v>675</v>
      </c>
      <c r="Z43" s="261">
        <f>IFERROR(VLOOKUP(B43,'55 Bike '!$B$7:$J$139,9,0),0)</f>
        <v>0</v>
      </c>
      <c r="AA43" s="261"/>
      <c r="AB43" s="73">
        <f t="shared" si="37"/>
        <v>675</v>
      </c>
      <c r="AC43" s="73">
        <f t="shared" si="38"/>
        <v>21825</v>
      </c>
      <c r="AD43" s="264" t="s">
        <v>23</v>
      </c>
      <c r="AE43" s="256" t="s">
        <v>596</v>
      </c>
      <c r="AF43" s="838"/>
      <c r="AG43" s="205"/>
      <c r="AH43" s="383"/>
      <c r="AI43" s="543"/>
      <c r="AJ43" s="548"/>
      <c r="AK43" s="548"/>
      <c r="AL43" s="198"/>
      <c r="AM43" s="320"/>
      <c r="AP43" s="198"/>
    </row>
    <row r="44" spans="1:43" s="61" customFormat="1" ht="24.95" customHeight="1">
      <c r="A44" s="253">
        <v>3</v>
      </c>
      <c r="B44" s="254" t="s">
        <v>101</v>
      </c>
      <c r="C44" s="255" t="s">
        <v>102</v>
      </c>
      <c r="D44" s="278" t="str">
        <f>VLOOKUP(B44,Attendance!$B$6:$D$385,3,0)</f>
        <v>Mechanic</v>
      </c>
      <c r="E44" s="278" t="s">
        <v>97</v>
      </c>
      <c r="F44" s="523">
        <v>44604</v>
      </c>
      <c r="G44" s="257">
        <f>VLOOKUP(B44,Attendance!$B$6:$G$386,6,0)</f>
        <v>31</v>
      </c>
      <c r="H44" s="258">
        <f>VLOOKUP(B$8:B$380,Attendance!$B$6:$L$386,11,0)</f>
        <v>0</v>
      </c>
      <c r="I44" s="257">
        <f t="shared" si="27"/>
        <v>31</v>
      </c>
      <c r="J44" s="258">
        <f t="shared" si="28"/>
        <v>677.74193548387098</v>
      </c>
      <c r="K44" s="72">
        <v>21010</v>
      </c>
      <c r="L44" s="72">
        <f t="shared" si="29"/>
        <v>12606</v>
      </c>
      <c r="M44" s="72">
        <f t="shared" si="30"/>
        <v>6303</v>
      </c>
      <c r="N44" s="72">
        <f t="shared" si="31"/>
        <v>1260.5999999999999</v>
      </c>
      <c r="O44" s="72">
        <f t="shared" si="32"/>
        <v>840.4</v>
      </c>
      <c r="P44" s="259">
        <v>0</v>
      </c>
      <c r="Q44" s="260">
        <f t="shared" si="33"/>
        <v>21010</v>
      </c>
      <c r="R44" s="260">
        <f t="shared" si="34"/>
        <v>21010</v>
      </c>
      <c r="S44" s="261"/>
      <c r="T44" s="261"/>
      <c r="U44" s="262"/>
      <c r="V44" s="263">
        <f t="shared" si="35"/>
        <v>21010</v>
      </c>
      <c r="W44" s="72">
        <v>0</v>
      </c>
      <c r="X44" s="261">
        <f>IFERROR(VLOOKUP(B44,'Lunch bill'!$B$6:$H$30,7,0),0)</f>
        <v>0</v>
      </c>
      <c r="Y44" s="261">
        <f t="shared" si="36"/>
        <v>630</v>
      </c>
      <c r="Z44" s="261">
        <f>IFERROR(VLOOKUP(B44,'55 Bike '!$B$7:$J$139,9,0),0)</f>
        <v>842</v>
      </c>
      <c r="AA44" s="261"/>
      <c r="AB44" s="73">
        <f t="shared" si="37"/>
        <v>1472</v>
      </c>
      <c r="AC44" s="73">
        <f t="shared" si="38"/>
        <v>19538</v>
      </c>
      <c r="AD44" s="264" t="s">
        <v>23</v>
      </c>
      <c r="AE44" s="256" t="s">
        <v>103</v>
      </c>
      <c r="AF44" s="838"/>
      <c r="AG44" s="205"/>
      <c r="AH44" s="383"/>
      <c r="AI44" s="543"/>
      <c r="AJ44" s="548"/>
      <c r="AK44" s="548"/>
      <c r="AL44" s="198"/>
      <c r="AM44" s="320"/>
      <c r="AP44" s="198"/>
    </row>
    <row r="45" spans="1:43" s="61" customFormat="1" ht="24.95" customHeight="1">
      <c r="A45" s="253">
        <v>4</v>
      </c>
      <c r="B45" s="254" t="s">
        <v>104</v>
      </c>
      <c r="C45" s="255" t="s">
        <v>105</v>
      </c>
      <c r="D45" s="278" t="str">
        <f>VLOOKUP(B45,Attendance!$B$6:$D$385,3,0)</f>
        <v>Mechanic</v>
      </c>
      <c r="E45" s="278" t="s">
        <v>97</v>
      </c>
      <c r="F45" s="523">
        <v>44640</v>
      </c>
      <c r="G45" s="257">
        <f>VLOOKUP(B45,Attendance!$B$6:$G$386,6,0)</f>
        <v>31</v>
      </c>
      <c r="H45" s="258">
        <f>VLOOKUP(B$8:B$380,Attendance!$B$6:$L$386,11,0)</f>
        <v>0</v>
      </c>
      <c r="I45" s="257">
        <f t="shared" si="27"/>
        <v>31</v>
      </c>
      <c r="J45" s="258">
        <f t="shared" si="28"/>
        <v>550</v>
      </c>
      <c r="K45" s="72">
        <v>17050</v>
      </c>
      <c r="L45" s="72">
        <f t="shared" si="29"/>
        <v>10230</v>
      </c>
      <c r="M45" s="72">
        <f t="shared" si="30"/>
        <v>5115</v>
      </c>
      <c r="N45" s="72">
        <f t="shared" si="31"/>
        <v>1023</v>
      </c>
      <c r="O45" s="72">
        <f t="shared" si="32"/>
        <v>682</v>
      </c>
      <c r="P45" s="259">
        <v>0</v>
      </c>
      <c r="Q45" s="260">
        <f t="shared" si="33"/>
        <v>17050</v>
      </c>
      <c r="R45" s="260">
        <f t="shared" si="34"/>
        <v>17050</v>
      </c>
      <c r="S45" s="261"/>
      <c r="T45" s="261"/>
      <c r="U45" s="262"/>
      <c r="V45" s="263">
        <f t="shared" si="35"/>
        <v>17050</v>
      </c>
      <c r="W45" s="72">
        <v>0</v>
      </c>
      <c r="X45" s="261">
        <f>IFERROR(VLOOKUP(B45,'Lunch bill'!$B$6:$H$30,7,0),0)</f>
        <v>0</v>
      </c>
      <c r="Y45" s="261">
        <f t="shared" si="36"/>
        <v>512</v>
      </c>
      <c r="Z45" s="261">
        <f>IFERROR(VLOOKUP(B45,'55 Bike '!$B$7:$J$139,9,0),0)</f>
        <v>2000</v>
      </c>
      <c r="AA45" s="261"/>
      <c r="AB45" s="73">
        <f t="shared" si="37"/>
        <v>2512</v>
      </c>
      <c r="AC45" s="73">
        <f t="shared" si="38"/>
        <v>14538</v>
      </c>
      <c r="AD45" s="264" t="s">
        <v>23</v>
      </c>
      <c r="AE45" s="256" t="s">
        <v>106</v>
      </c>
      <c r="AF45" s="838"/>
      <c r="AG45" s="205"/>
      <c r="AH45" s="383"/>
      <c r="AI45" s="543"/>
      <c r="AJ45" s="548"/>
      <c r="AK45" s="548"/>
      <c r="AL45" s="198"/>
      <c r="AM45" s="320"/>
      <c r="AP45" s="198"/>
    </row>
    <row r="46" spans="1:43" s="61" customFormat="1" ht="24.95" customHeight="1">
      <c r="A46" s="253">
        <v>5</v>
      </c>
      <c r="B46" s="254" t="s">
        <v>107</v>
      </c>
      <c r="C46" s="255" t="s">
        <v>108</v>
      </c>
      <c r="D46" s="278" t="str">
        <f>VLOOKUP(B46,Attendance!$B$6:$D$385,3,0)</f>
        <v>Jr. Mechanic</v>
      </c>
      <c r="E46" s="278" t="s">
        <v>97</v>
      </c>
      <c r="F46" s="523">
        <v>44600</v>
      </c>
      <c r="G46" s="257">
        <f>VLOOKUP(B46,Attendance!$B$6:$G$386,6,0)</f>
        <v>31</v>
      </c>
      <c r="H46" s="258">
        <f>VLOOKUP(B$8:B$380,Attendance!$B$6:$L$386,11,0)</f>
        <v>0</v>
      </c>
      <c r="I46" s="257">
        <f t="shared" si="27"/>
        <v>31</v>
      </c>
      <c r="J46" s="258">
        <f t="shared" si="28"/>
        <v>582.25806451612902</v>
      </c>
      <c r="K46" s="72">
        <v>18050</v>
      </c>
      <c r="L46" s="72">
        <f t="shared" si="29"/>
        <v>10830</v>
      </c>
      <c r="M46" s="72">
        <f t="shared" si="30"/>
        <v>5415</v>
      </c>
      <c r="N46" s="72">
        <f t="shared" si="31"/>
        <v>1083</v>
      </c>
      <c r="O46" s="72">
        <f t="shared" si="32"/>
        <v>722</v>
      </c>
      <c r="P46" s="259">
        <v>0</v>
      </c>
      <c r="Q46" s="260">
        <f t="shared" si="33"/>
        <v>18050</v>
      </c>
      <c r="R46" s="260">
        <f t="shared" si="34"/>
        <v>18050</v>
      </c>
      <c r="S46" s="261"/>
      <c r="T46" s="261"/>
      <c r="U46" s="262"/>
      <c r="V46" s="263">
        <f t="shared" si="35"/>
        <v>18050</v>
      </c>
      <c r="W46" s="72">
        <v>0</v>
      </c>
      <c r="X46" s="261">
        <f>IFERROR(VLOOKUP(B46,'Lunch bill'!$B$6:$H$30,7,0),0)</f>
        <v>0</v>
      </c>
      <c r="Y46" s="261">
        <f t="shared" si="36"/>
        <v>542</v>
      </c>
      <c r="Z46" s="261">
        <f>IFERROR(VLOOKUP(B46,'55 Bike '!$B$7:$J$139,9,0),0)</f>
        <v>2000</v>
      </c>
      <c r="AA46" s="261"/>
      <c r="AB46" s="73">
        <f t="shared" si="37"/>
        <v>2542</v>
      </c>
      <c r="AC46" s="73">
        <f t="shared" si="38"/>
        <v>15508</v>
      </c>
      <c r="AD46" s="264" t="s">
        <v>23</v>
      </c>
      <c r="AE46" s="256" t="s">
        <v>109</v>
      </c>
      <c r="AF46" s="838"/>
      <c r="AG46" s="205"/>
      <c r="AH46" s="383"/>
      <c r="AI46" s="543"/>
      <c r="AJ46" s="548"/>
      <c r="AK46" s="548"/>
      <c r="AL46" s="198"/>
      <c r="AM46" s="320"/>
      <c r="AP46" s="198"/>
    </row>
    <row r="47" spans="1:43" s="61" customFormat="1" ht="24.95" customHeight="1">
      <c r="A47" s="253">
        <v>6</v>
      </c>
      <c r="B47" s="254" t="s">
        <v>110</v>
      </c>
      <c r="C47" s="255" t="s">
        <v>111</v>
      </c>
      <c r="D47" s="278" t="str">
        <f>VLOOKUP(B47,Attendance!$B$6:$D$385,3,0)</f>
        <v>Jr.Mechanic</v>
      </c>
      <c r="E47" s="278" t="s">
        <v>97</v>
      </c>
      <c r="F47" s="523">
        <v>44601</v>
      </c>
      <c r="G47" s="257">
        <f>VLOOKUP(B47,Attendance!$B$6:$G$386,6,0)</f>
        <v>31</v>
      </c>
      <c r="H47" s="258">
        <f>VLOOKUP(B$8:B$380,Attendance!$B$6:$L$386,11,0)</f>
        <v>0</v>
      </c>
      <c r="I47" s="257">
        <f t="shared" si="27"/>
        <v>31</v>
      </c>
      <c r="J47" s="258">
        <f t="shared" si="28"/>
        <v>575.80645161290317</v>
      </c>
      <c r="K47" s="72">
        <v>17850</v>
      </c>
      <c r="L47" s="72">
        <f t="shared" si="29"/>
        <v>10710</v>
      </c>
      <c r="M47" s="72">
        <f t="shared" si="30"/>
        <v>5355</v>
      </c>
      <c r="N47" s="72">
        <f t="shared" si="31"/>
        <v>1071</v>
      </c>
      <c r="O47" s="72">
        <f t="shared" si="32"/>
        <v>714</v>
      </c>
      <c r="P47" s="259">
        <v>0</v>
      </c>
      <c r="Q47" s="260">
        <f t="shared" si="33"/>
        <v>17850</v>
      </c>
      <c r="R47" s="260">
        <f t="shared" si="34"/>
        <v>17850</v>
      </c>
      <c r="S47" s="261"/>
      <c r="T47" s="261"/>
      <c r="U47" s="262"/>
      <c r="V47" s="263">
        <f t="shared" si="35"/>
        <v>17850</v>
      </c>
      <c r="W47" s="72">
        <v>0</v>
      </c>
      <c r="X47" s="261">
        <f>IFERROR(VLOOKUP(B47,'Lunch bill'!$B$6:$H$30,7,0),0)</f>
        <v>0</v>
      </c>
      <c r="Y47" s="261">
        <f t="shared" si="36"/>
        <v>536</v>
      </c>
      <c r="Z47" s="261">
        <f>IFERROR(VLOOKUP(B47,'55 Bike '!$B$7:$J$139,9,0),0)</f>
        <v>842</v>
      </c>
      <c r="AA47" s="261"/>
      <c r="AB47" s="73">
        <f t="shared" si="37"/>
        <v>1378</v>
      </c>
      <c r="AC47" s="73">
        <f t="shared" si="38"/>
        <v>16472</v>
      </c>
      <c r="AD47" s="264" t="s">
        <v>23</v>
      </c>
      <c r="AE47" s="256" t="s">
        <v>112</v>
      </c>
      <c r="AF47" s="838"/>
      <c r="AG47" s="205"/>
      <c r="AH47" s="383"/>
      <c r="AI47" s="543"/>
      <c r="AJ47" s="548"/>
      <c r="AK47" s="548"/>
      <c r="AL47" s="198"/>
      <c r="AM47" s="320"/>
      <c r="AP47" s="198"/>
    </row>
    <row r="48" spans="1:43" s="61" customFormat="1" ht="24.95" customHeight="1">
      <c r="A48" s="253">
        <v>7</v>
      </c>
      <c r="B48" s="254" t="s">
        <v>113</v>
      </c>
      <c r="C48" s="255" t="s">
        <v>114</v>
      </c>
      <c r="D48" s="278" t="str">
        <f>VLOOKUP(B48,Attendance!$B$6:$D$385,3,0)</f>
        <v>Sr. Service Coordinator</v>
      </c>
      <c r="E48" s="278" t="s">
        <v>97</v>
      </c>
      <c r="F48" s="523">
        <v>44643</v>
      </c>
      <c r="G48" s="257">
        <f>VLOOKUP(B48,Attendance!$B$6:$G$386,6,0)</f>
        <v>31</v>
      </c>
      <c r="H48" s="258">
        <f>VLOOKUP(B$8:B$380,Attendance!$B$6:$L$386,11,0)</f>
        <v>0</v>
      </c>
      <c r="I48" s="257">
        <f t="shared" si="27"/>
        <v>31</v>
      </c>
      <c r="J48" s="258">
        <f t="shared" si="28"/>
        <v>1161.2903225806451</v>
      </c>
      <c r="K48" s="72">
        <v>36000</v>
      </c>
      <c r="L48" s="72">
        <f t="shared" si="29"/>
        <v>21600</v>
      </c>
      <c r="M48" s="72">
        <f t="shared" si="30"/>
        <v>10800</v>
      </c>
      <c r="N48" s="72">
        <f t="shared" si="31"/>
        <v>2160</v>
      </c>
      <c r="O48" s="72">
        <f t="shared" si="32"/>
        <v>1440</v>
      </c>
      <c r="P48" s="259">
        <v>0</v>
      </c>
      <c r="Q48" s="260">
        <f t="shared" si="33"/>
        <v>36000</v>
      </c>
      <c r="R48" s="260">
        <f t="shared" si="34"/>
        <v>36000</v>
      </c>
      <c r="S48" s="261"/>
      <c r="T48" s="261"/>
      <c r="U48" s="262"/>
      <c r="V48" s="263">
        <f t="shared" si="35"/>
        <v>36000</v>
      </c>
      <c r="W48" s="72">
        <v>0</v>
      </c>
      <c r="X48" s="261">
        <f>IFERROR(VLOOKUP(B48,'Lunch bill'!$B$6:$H$30,7,0),0)</f>
        <v>1800</v>
      </c>
      <c r="Y48" s="261">
        <f t="shared" si="36"/>
        <v>1080</v>
      </c>
      <c r="Z48" s="261">
        <f>IFERROR(VLOOKUP(B48,'55 Bike '!$B$7:$J$139,9,0),0)</f>
        <v>0</v>
      </c>
      <c r="AA48" s="261"/>
      <c r="AB48" s="73">
        <f t="shared" si="37"/>
        <v>2880</v>
      </c>
      <c r="AC48" s="73">
        <f t="shared" si="38"/>
        <v>33120</v>
      </c>
      <c r="AD48" s="264" t="s">
        <v>23</v>
      </c>
      <c r="AE48" s="256" t="s">
        <v>115</v>
      </c>
      <c r="AF48" s="838"/>
      <c r="AG48" s="205"/>
      <c r="AH48" s="383"/>
      <c r="AI48" s="543"/>
      <c r="AJ48" s="548"/>
      <c r="AK48" s="548"/>
      <c r="AL48" s="198"/>
      <c r="AM48" s="320"/>
      <c r="AP48" s="198"/>
    </row>
    <row r="49" spans="1:43" s="47" customFormat="1" ht="24.95" customHeight="1">
      <c r="A49" s="253">
        <v>8</v>
      </c>
      <c r="B49" s="254" t="s">
        <v>116</v>
      </c>
      <c r="C49" s="255" t="s">
        <v>117</v>
      </c>
      <c r="D49" s="278" t="str">
        <f>VLOOKUP(B49,Attendance!$B$6:$D$385,3,0)</f>
        <v>Mechanic</v>
      </c>
      <c r="E49" s="278" t="s">
        <v>97</v>
      </c>
      <c r="F49" s="523">
        <v>44640</v>
      </c>
      <c r="G49" s="257">
        <f>VLOOKUP(B49,Attendance!$B$6:$G$386,6,0)</f>
        <v>31</v>
      </c>
      <c r="H49" s="258">
        <f>VLOOKUP(B$8:B$380,Attendance!$B$6:$L$386,11,0)</f>
        <v>0</v>
      </c>
      <c r="I49" s="257">
        <f t="shared" si="27"/>
        <v>31</v>
      </c>
      <c r="J49" s="258">
        <f t="shared" si="28"/>
        <v>684.19354838709683</v>
      </c>
      <c r="K49" s="72">
        <v>21210</v>
      </c>
      <c r="L49" s="72">
        <f t="shared" si="29"/>
        <v>12726</v>
      </c>
      <c r="M49" s="72">
        <f t="shared" si="30"/>
        <v>6363</v>
      </c>
      <c r="N49" s="72">
        <f t="shared" si="31"/>
        <v>1272.5999999999999</v>
      </c>
      <c r="O49" s="72">
        <f t="shared" si="32"/>
        <v>848.4</v>
      </c>
      <c r="P49" s="259">
        <v>0</v>
      </c>
      <c r="Q49" s="260">
        <f t="shared" si="33"/>
        <v>21210</v>
      </c>
      <c r="R49" s="260">
        <f t="shared" si="34"/>
        <v>21210</v>
      </c>
      <c r="S49" s="261"/>
      <c r="T49" s="261"/>
      <c r="U49" s="262"/>
      <c r="V49" s="263">
        <f t="shared" si="35"/>
        <v>21210</v>
      </c>
      <c r="W49" s="72">
        <v>0</v>
      </c>
      <c r="X49" s="261">
        <f>IFERROR(VLOOKUP(B49,'Lunch bill'!$B$6:$H$30,7,0),0)</f>
        <v>0</v>
      </c>
      <c r="Y49" s="261">
        <f t="shared" si="36"/>
        <v>636</v>
      </c>
      <c r="Z49" s="261">
        <f>IFERROR(VLOOKUP(B49,'55 Bike '!$B$7:$J$139,9,0),0)</f>
        <v>842</v>
      </c>
      <c r="AA49" s="261"/>
      <c r="AB49" s="73">
        <f t="shared" si="37"/>
        <v>1478</v>
      </c>
      <c r="AC49" s="73">
        <f t="shared" si="38"/>
        <v>19732</v>
      </c>
      <c r="AD49" s="264" t="s">
        <v>23</v>
      </c>
      <c r="AE49" s="256" t="s">
        <v>499</v>
      </c>
      <c r="AF49" s="838"/>
      <c r="AG49" s="205"/>
      <c r="AH49" s="383"/>
      <c r="AI49" s="543"/>
      <c r="AJ49" s="548"/>
      <c r="AK49" s="548"/>
      <c r="AL49" s="198"/>
      <c r="AM49" s="320"/>
      <c r="AN49" s="61"/>
      <c r="AO49" s="61"/>
      <c r="AP49" s="198"/>
      <c r="AQ49" s="61"/>
    </row>
    <row r="50" spans="1:43" s="61" customFormat="1" ht="24.95" customHeight="1">
      <c r="A50" s="253">
        <v>9</v>
      </c>
      <c r="B50" s="254" t="s">
        <v>118</v>
      </c>
      <c r="C50" s="255" t="s">
        <v>119</v>
      </c>
      <c r="D50" s="278" t="str">
        <f>VLOOKUP(B50,Attendance!$B$6:$D$385,3,0)</f>
        <v>Sr. Manager</v>
      </c>
      <c r="E50" s="278" t="s">
        <v>97</v>
      </c>
      <c r="F50" s="523">
        <v>44665</v>
      </c>
      <c r="G50" s="257">
        <f>VLOOKUP(B50,Attendance!$B$6:$G$386,6,0)</f>
        <v>31</v>
      </c>
      <c r="H50" s="258">
        <f>VLOOKUP(B$8:B$380,Attendance!$B$6:$L$386,11,0)</f>
        <v>0</v>
      </c>
      <c r="I50" s="257">
        <f t="shared" si="27"/>
        <v>31</v>
      </c>
      <c r="J50" s="258">
        <f t="shared" si="28"/>
        <v>3372.5806451612902</v>
      </c>
      <c r="K50" s="72">
        <v>104550</v>
      </c>
      <c r="L50" s="72">
        <f t="shared" si="29"/>
        <v>62730</v>
      </c>
      <c r="M50" s="72">
        <f t="shared" si="30"/>
        <v>31365</v>
      </c>
      <c r="N50" s="72">
        <f t="shared" si="31"/>
        <v>6273</v>
      </c>
      <c r="O50" s="72">
        <f t="shared" si="32"/>
        <v>4182</v>
      </c>
      <c r="P50" s="259">
        <v>0</v>
      </c>
      <c r="Q50" s="260">
        <f t="shared" si="33"/>
        <v>104550</v>
      </c>
      <c r="R50" s="260">
        <f t="shared" si="34"/>
        <v>104550</v>
      </c>
      <c r="S50" s="261"/>
      <c r="T50" s="261"/>
      <c r="U50" s="262"/>
      <c r="V50" s="263">
        <f t="shared" si="35"/>
        <v>104550</v>
      </c>
      <c r="W50" s="72">
        <v>3205.2857142857142</v>
      </c>
      <c r="X50" s="261">
        <f>IFERROR(VLOOKUP(B50,'Lunch bill'!$B$6:$H$30,7,0),0)</f>
        <v>450</v>
      </c>
      <c r="Y50" s="261">
        <f t="shared" si="36"/>
        <v>3137</v>
      </c>
      <c r="Z50" s="261">
        <f>IFERROR(VLOOKUP(B50,'55 Bike '!$B$7:$J$139,9,0),0)</f>
        <v>0</v>
      </c>
      <c r="AA50" s="261"/>
      <c r="AB50" s="73">
        <f t="shared" si="37"/>
        <v>6792.2857142857138</v>
      </c>
      <c r="AC50" s="73">
        <f t="shared" si="38"/>
        <v>97758</v>
      </c>
      <c r="AD50" s="264" t="s">
        <v>23</v>
      </c>
      <c r="AE50" s="256" t="s">
        <v>686</v>
      </c>
      <c r="AF50" s="838"/>
      <c r="AG50" s="205"/>
      <c r="AH50" s="383"/>
      <c r="AI50" s="543"/>
      <c r="AJ50" s="548"/>
      <c r="AK50" s="548"/>
      <c r="AL50" s="198"/>
      <c r="AM50" s="320"/>
      <c r="AP50" s="198"/>
    </row>
    <row r="51" spans="1:43" s="61" customFormat="1" ht="24.95" customHeight="1">
      <c r="A51" s="253">
        <v>10</v>
      </c>
      <c r="B51" s="254" t="s">
        <v>120</v>
      </c>
      <c r="C51" s="255" t="s">
        <v>121</v>
      </c>
      <c r="D51" s="278" t="str">
        <f>VLOOKUP(B51,Attendance!$B$6:$D$385,3,0)</f>
        <v>Mechanic</v>
      </c>
      <c r="E51" s="278" t="s">
        <v>97</v>
      </c>
      <c r="F51" s="523">
        <v>44650</v>
      </c>
      <c r="G51" s="257">
        <f>VLOOKUP(B51,Attendance!$B$6:$G$386,6,0)</f>
        <v>31</v>
      </c>
      <c r="H51" s="258">
        <f>VLOOKUP(B$8:B$380,Attendance!$B$6:$L$386,11,0)</f>
        <v>0</v>
      </c>
      <c r="I51" s="257">
        <f t="shared" si="27"/>
        <v>31</v>
      </c>
      <c r="J51" s="258">
        <f t="shared" si="28"/>
        <v>550</v>
      </c>
      <c r="K51" s="72">
        <v>17050</v>
      </c>
      <c r="L51" s="72">
        <f t="shared" si="29"/>
        <v>10230</v>
      </c>
      <c r="M51" s="72">
        <f t="shared" si="30"/>
        <v>5115</v>
      </c>
      <c r="N51" s="72">
        <f t="shared" si="31"/>
        <v>1023</v>
      </c>
      <c r="O51" s="72">
        <f t="shared" si="32"/>
        <v>682</v>
      </c>
      <c r="P51" s="259">
        <v>0</v>
      </c>
      <c r="Q51" s="260">
        <f t="shared" si="33"/>
        <v>17050</v>
      </c>
      <c r="R51" s="260">
        <f t="shared" si="34"/>
        <v>17050</v>
      </c>
      <c r="S51" s="261"/>
      <c r="T51" s="261"/>
      <c r="U51" s="262"/>
      <c r="V51" s="263">
        <f t="shared" si="35"/>
        <v>17050</v>
      </c>
      <c r="W51" s="72">
        <v>0</v>
      </c>
      <c r="X51" s="261">
        <f>IFERROR(VLOOKUP(B51,'Lunch bill'!$B$6:$H$30,7,0),0)</f>
        <v>0</v>
      </c>
      <c r="Y51" s="261">
        <f t="shared" si="36"/>
        <v>512</v>
      </c>
      <c r="Z51" s="261">
        <f>IFERROR(VLOOKUP(B51,'55 Bike '!$B$7:$J$139,9,0),0)</f>
        <v>0</v>
      </c>
      <c r="AA51" s="261"/>
      <c r="AB51" s="73">
        <f t="shared" si="37"/>
        <v>512</v>
      </c>
      <c r="AC51" s="73">
        <f t="shared" si="38"/>
        <v>16538</v>
      </c>
      <c r="AD51" s="264" t="s">
        <v>23</v>
      </c>
      <c r="AE51" s="256" t="s">
        <v>122</v>
      </c>
      <c r="AF51" s="838"/>
      <c r="AG51" s="205"/>
      <c r="AH51" s="383"/>
      <c r="AI51" s="543"/>
      <c r="AJ51" s="548"/>
      <c r="AK51" s="548"/>
      <c r="AL51" s="198"/>
      <c r="AM51" s="320"/>
      <c r="AP51" s="198"/>
    </row>
    <row r="52" spans="1:43" s="61" customFormat="1" ht="24.95" customHeight="1">
      <c r="A52" s="253">
        <v>11</v>
      </c>
      <c r="B52" s="254" t="s">
        <v>123</v>
      </c>
      <c r="C52" s="255" t="s">
        <v>124</v>
      </c>
      <c r="D52" s="278" t="str">
        <f>VLOOKUP(B52,Attendance!$B$6:$D$385,3,0)</f>
        <v>Jr. Mechanic</v>
      </c>
      <c r="E52" s="278" t="s">
        <v>97</v>
      </c>
      <c r="F52" s="523">
        <v>44655</v>
      </c>
      <c r="G52" s="257">
        <f>VLOOKUP(B52,Attendance!$B$6:$G$386,6,0)</f>
        <v>31</v>
      </c>
      <c r="H52" s="258">
        <f>VLOOKUP(B$8:B$380,Attendance!$B$6:$L$386,11,0)</f>
        <v>0</v>
      </c>
      <c r="I52" s="257">
        <f t="shared" si="27"/>
        <v>31</v>
      </c>
      <c r="J52" s="258">
        <f t="shared" si="28"/>
        <v>550</v>
      </c>
      <c r="K52" s="72">
        <v>17050</v>
      </c>
      <c r="L52" s="72">
        <f t="shared" si="29"/>
        <v>10230</v>
      </c>
      <c r="M52" s="72">
        <f t="shared" si="30"/>
        <v>5115</v>
      </c>
      <c r="N52" s="72">
        <f t="shared" si="31"/>
        <v>1023</v>
      </c>
      <c r="O52" s="72">
        <f t="shared" si="32"/>
        <v>682</v>
      </c>
      <c r="P52" s="259">
        <v>0</v>
      </c>
      <c r="Q52" s="260">
        <f t="shared" si="33"/>
        <v>17050</v>
      </c>
      <c r="R52" s="260">
        <f t="shared" si="34"/>
        <v>17050</v>
      </c>
      <c r="S52" s="261"/>
      <c r="T52" s="261"/>
      <c r="U52" s="262"/>
      <c r="V52" s="263">
        <f t="shared" si="35"/>
        <v>17050</v>
      </c>
      <c r="W52" s="72">
        <v>0</v>
      </c>
      <c r="X52" s="261">
        <f>IFERROR(VLOOKUP(B52,'Lunch bill'!$B$6:$H$30,7,0),0)</f>
        <v>0</v>
      </c>
      <c r="Y52" s="261">
        <f t="shared" si="36"/>
        <v>512</v>
      </c>
      <c r="Z52" s="261">
        <f>IFERROR(VLOOKUP(B52,'55 Bike '!$B$7:$J$139,9,0),0)</f>
        <v>842</v>
      </c>
      <c r="AA52" s="261"/>
      <c r="AB52" s="73">
        <f t="shared" si="37"/>
        <v>1354</v>
      </c>
      <c r="AC52" s="73">
        <f t="shared" si="38"/>
        <v>15696</v>
      </c>
      <c r="AD52" s="264" t="s">
        <v>23</v>
      </c>
      <c r="AE52" s="256" t="s">
        <v>125</v>
      </c>
      <c r="AF52" s="838"/>
      <c r="AG52" s="205"/>
      <c r="AH52" s="383"/>
      <c r="AI52" s="543"/>
      <c r="AJ52" s="548"/>
      <c r="AK52" s="548"/>
      <c r="AL52" s="198"/>
      <c r="AM52" s="320"/>
      <c r="AP52" s="198"/>
    </row>
    <row r="53" spans="1:43" s="47" customFormat="1" ht="24.95" customHeight="1">
      <c r="A53" s="253">
        <v>12</v>
      </c>
      <c r="B53" s="254" t="s">
        <v>126</v>
      </c>
      <c r="C53" s="255" t="s">
        <v>127</v>
      </c>
      <c r="D53" s="278" t="str">
        <f>VLOOKUP(B53,Attendance!$B$6:$D$385,3,0)</f>
        <v>Jr. Mechanic</v>
      </c>
      <c r="E53" s="278" t="s">
        <v>97</v>
      </c>
      <c r="F53" s="523">
        <v>44655</v>
      </c>
      <c r="G53" s="257">
        <f>VLOOKUP(B53,Attendance!$B$6:$G$386,6,0)</f>
        <v>31</v>
      </c>
      <c r="H53" s="258">
        <f>VLOOKUP(B$8:B$380,Attendance!$B$6:$L$386,11,0)</f>
        <v>0</v>
      </c>
      <c r="I53" s="257">
        <f t="shared" si="27"/>
        <v>31</v>
      </c>
      <c r="J53" s="258">
        <f t="shared" si="28"/>
        <v>551.61290322580646</v>
      </c>
      <c r="K53" s="72">
        <v>17100</v>
      </c>
      <c r="L53" s="72">
        <f t="shared" si="29"/>
        <v>10260</v>
      </c>
      <c r="M53" s="72">
        <f t="shared" si="30"/>
        <v>5130</v>
      </c>
      <c r="N53" s="72">
        <f t="shared" si="31"/>
        <v>1026</v>
      </c>
      <c r="O53" s="72">
        <f t="shared" si="32"/>
        <v>684</v>
      </c>
      <c r="P53" s="259">
        <v>0</v>
      </c>
      <c r="Q53" s="260">
        <f t="shared" si="33"/>
        <v>17100</v>
      </c>
      <c r="R53" s="260">
        <f t="shared" si="34"/>
        <v>17100</v>
      </c>
      <c r="S53" s="261"/>
      <c r="T53" s="261"/>
      <c r="U53" s="262"/>
      <c r="V53" s="263">
        <f t="shared" si="35"/>
        <v>17100</v>
      </c>
      <c r="W53" s="72">
        <v>0</v>
      </c>
      <c r="X53" s="261">
        <f>IFERROR(VLOOKUP(B53,'Lunch bill'!$B$6:$H$30,7,0),0)</f>
        <v>0</v>
      </c>
      <c r="Y53" s="261">
        <f t="shared" si="36"/>
        <v>513</v>
      </c>
      <c r="Z53" s="261">
        <f>IFERROR(VLOOKUP(B53,'55 Bike '!$B$7:$J$139,9,0),0)</f>
        <v>842</v>
      </c>
      <c r="AA53" s="261"/>
      <c r="AB53" s="73">
        <f t="shared" si="37"/>
        <v>1355</v>
      </c>
      <c r="AC53" s="73">
        <f t="shared" si="38"/>
        <v>15745</v>
      </c>
      <c r="AD53" s="264" t="s">
        <v>23</v>
      </c>
      <c r="AE53" s="256" t="s">
        <v>128</v>
      </c>
      <c r="AF53" s="838"/>
      <c r="AG53" s="205"/>
      <c r="AH53" s="383"/>
      <c r="AI53" s="543"/>
      <c r="AJ53" s="548"/>
      <c r="AK53" s="548"/>
      <c r="AL53" s="198"/>
      <c r="AM53" s="320"/>
      <c r="AN53" s="61"/>
      <c r="AO53" s="61"/>
      <c r="AP53" s="198"/>
      <c r="AQ53" s="61"/>
    </row>
    <row r="54" spans="1:43" s="61" customFormat="1" ht="24.95" customHeight="1">
      <c r="A54" s="253">
        <v>13</v>
      </c>
      <c r="B54" s="254" t="s">
        <v>129</v>
      </c>
      <c r="C54" s="255" t="s">
        <v>130</v>
      </c>
      <c r="D54" s="278" t="str">
        <f>VLOOKUP(B54,Attendance!$B$6:$D$385,3,0)</f>
        <v>Jr. Mechanic</v>
      </c>
      <c r="E54" s="278" t="s">
        <v>97</v>
      </c>
      <c r="F54" s="523">
        <v>44655</v>
      </c>
      <c r="G54" s="257">
        <f>VLOOKUP(B54,Attendance!$B$6:$G$386,6,0)</f>
        <v>31</v>
      </c>
      <c r="H54" s="258">
        <f>VLOOKUP(B$8:B$380,Attendance!$B$6:$L$386,11,0)</f>
        <v>0</v>
      </c>
      <c r="I54" s="257">
        <f t="shared" si="27"/>
        <v>31</v>
      </c>
      <c r="J54" s="258">
        <f t="shared" si="28"/>
        <v>598.38709677419354</v>
      </c>
      <c r="K54" s="72">
        <v>18550</v>
      </c>
      <c r="L54" s="72">
        <f t="shared" si="29"/>
        <v>11130</v>
      </c>
      <c r="M54" s="72">
        <f t="shared" si="30"/>
        <v>5565</v>
      </c>
      <c r="N54" s="72">
        <f t="shared" si="31"/>
        <v>1113</v>
      </c>
      <c r="O54" s="72">
        <f t="shared" si="32"/>
        <v>742</v>
      </c>
      <c r="P54" s="259">
        <v>0</v>
      </c>
      <c r="Q54" s="260">
        <f t="shared" si="33"/>
        <v>18550</v>
      </c>
      <c r="R54" s="260">
        <f t="shared" si="34"/>
        <v>18550</v>
      </c>
      <c r="S54" s="261"/>
      <c r="T54" s="261"/>
      <c r="U54" s="262"/>
      <c r="V54" s="263">
        <f t="shared" si="35"/>
        <v>18550</v>
      </c>
      <c r="W54" s="72">
        <v>0</v>
      </c>
      <c r="X54" s="261">
        <f>IFERROR(VLOOKUP(B54,'Lunch bill'!$B$6:$H$30,7,0),0)</f>
        <v>0</v>
      </c>
      <c r="Y54" s="261">
        <f t="shared" si="36"/>
        <v>557</v>
      </c>
      <c r="Z54" s="261">
        <f>IFERROR(VLOOKUP(B54,'55 Bike '!$B$7:$J$139,9,0),0)</f>
        <v>0</v>
      </c>
      <c r="AA54" s="261"/>
      <c r="AB54" s="73">
        <f t="shared" si="37"/>
        <v>557</v>
      </c>
      <c r="AC54" s="73">
        <f t="shared" si="38"/>
        <v>17993</v>
      </c>
      <c r="AD54" s="264" t="s">
        <v>23</v>
      </c>
      <c r="AE54" s="256" t="s">
        <v>131</v>
      </c>
      <c r="AF54" s="838"/>
      <c r="AG54" s="205"/>
      <c r="AH54" s="383"/>
      <c r="AI54" s="543"/>
      <c r="AJ54" s="548"/>
      <c r="AK54" s="548"/>
      <c r="AL54" s="198"/>
      <c r="AM54" s="320"/>
      <c r="AP54" s="198"/>
    </row>
    <row r="55" spans="1:43" s="61" customFormat="1" ht="24.95" customHeight="1">
      <c r="A55" s="253">
        <v>14</v>
      </c>
      <c r="B55" s="254" t="s">
        <v>132</v>
      </c>
      <c r="C55" s="255" t="s">
        <v>133</v>
      </c>
      <c r="D55" s="278" t="str">
        <f>VLOOKUP(B55,Attendance!$B$6:$D$385,3,0)</f>
        <v>Mechanic</v>
      </c>
      <c r="E55" s="278" t="s">
        <v>97</v>
      </c>
      <c r="F55" s="523">
        <v>44658</v>
      </c>
      <c r="G55" s="257">
        <f>VLOOKUP(B55,Attendance!$B$6:$G$386,6,0)</f>
        <v>31</v>
      </c>
      <c r="H55" s="258">
        <f>VLOOKUP(B$8:B$380,Attendance!$B$6:$L$386,11,0)</f>
        <v>0</v>
      </c>
      <c r="I55" s="257">
        <f t="shared" si="27"/>
        <v>31</v>
      </c>
      <c r="J55" s="258">
        <f t="shared" si="28"/>
        <v>559.67741935483866</v>
      </c>
      <c r="K55" s="72">
        <v>17350</v>
      </c>
      <c r="L55" s="72">
        <f t="shared" si="29"/>
        <v>10410</v>
      </c>
      <c r="M55" s="72">
        <f t="shared" si="30"/>
        <v>5205</v>
      </c>
      <c r="N55" s="72">
        <f t="shared" si="31"/>
        <v>1041</v>
      </c>
      <c r="O55" s="72">
        <f t="shared" si="32"/>
        <v>694</v>
      </c>
      <c r="P55" s="259">
        <v>0</v>
      </c>
      <c r="Q55" s="260">
        <f t="shared" si="33"/>
        <v>17350</v>
      </c>
      <c r="R55" s="260">
        <f t="shared" si="34"/>
        <v>17350</v>
      </c>
      <c r="S55" s="261"/>
      <c r="T55" s="261"/>
      <c r="U55" s="262"/>
      <c r="V55" s="263">
        <f t="shared" si="35"/>
        <v>17350</v>
      </c>
      <c r="W55" s="72">
        <v>0</v>
      </c>
      <c r="X55" s="261">
        <f>IFERROR(VLOOKUP(B55,'Lunch bill'!$B$6:$H$30,7,0),0)</f>
        <v>0</v>
      </c>
      <c r="Y55" s="261">
        <f t="shared" si="36"/>
        <v>521</v>
      </c>
      <c r="Z55" s="261">
        <f>IFERROR(VLOOKUP(B55,'55 Bike '!$B$7:$J$139,9,0),0)</f>
        <v>0</v>
      </c>
      <c r="AA55" s="261"/>
      <c r="AB55" s="73">
        <f t="shared" si="37"/>
        <v>521</v>
      </c>
      <c r="AC55" s="73">
        <f t="shared" si="38"/>
        <v>16829</v>
      </c>
      <c r="AD55" s="264" t="s">
        <v>23</v>
      </c>
      <c r="AE55" s="256" t="s">
        <v>134</v>
      </c>
      <c r="AF55" s="838"/>
      <c r="AG55" s="205"/>
      <c r="AH55" s="383"/>
      <c r="AI55" s="543"/>
      <c r="AJ55" s="548"/>
      <c r="AK55" s="548"/>
      <c r="AL55" s="198"/>
      <c r="AM55" s="320"/>
      <c r="AP55" s="198"/>
    </row>
    <row r="56" spans="1:43" s="61" customFormat="1" ht="24.95" customHeight="1">
      <c r="A56" s="253">
        <v>15</v>
      </c>
      <c r="B56" s="254" t="s">
        <v>142</v>
      </c>
      <c r="C56" s="255" t="s">
        <v>143</v>
      </c>
      <c r="D56" s="278" t="str">
        <f>VLOOKUP(B56,Attendance!$B$6:$D$385,3,0)</f>
        <v>Mechanic</v>
      </c>
      <c r="E56" s="278" t="s">
        <v>97</v>
      </c>
      <c r="F56" s="523">
        <v>44669</v>
      </c>
      <c r="G56" s="257">
        <f>VLOOKUP(B56,Attendance!$B$6:$G$386,6,0)</f>
        <v>31</v>
      </c>
      <c r="H56" s="258">
        <f>VLOOKUP(B$8:B$380,Attendance!$B$6:$L$386,11,0)</f>
        <v>0</v>
      </c>
      <c r="I56" s="257">
        <f t="shared" si="27"/>
        <v>31</v>
      </c>
      <c r="J56" s="258">
        <f t="shared" si="28"/>
        <v>597.41935483870964</v>
      </c>
      <c r="K56" s="72">
        <v>18520</v>
      </c>
      <c r="L56" s="72">
        <f t="shared" si="29"/>
        <v>11112</v>
      </c>
      <c r="M56" s="72">
        <f t="shared" si="30"/>
        <v>5556</v>
      </c>
      <c r="N56" s="72">
        <f t="shared" si="31"/>
        <v>1111.2</v>
      </c>
      <c r="O56" s="72">
        <f t="shared" si="32"/>
        <v>740.80000000000007</v>
      </c>
      <c r="P56" s="259">
        <v>0</v>
      </c>
      <c r="Q56" s="260">
        <f t="shared" si="33"/>
        <v>18520</v>
      </c>
      <c r="R56" s="260">
        <f t="shared" si="34"/>
        <v>18520</v>
      </c>
      <c r="S56" s="261"/>
      <c r="T56" s="261"/>
      <c r="U56" s="262"/>
      <c r="V56" s="263">
        <f t="shared" si="35"/>
        <v>18520</v>
      </c>
      <c r="W56" s="72">
        <v>0</v>
      </c>
      <c r="X56" s="261">
        <f>IFERROR(VLOOKUP(B56,'Lunch bill'!$B$6:$H$30,7,0),0)</f>
        <v>0</v>
      </c>
      <c r="Y56" s="261">
        <f t="shared" si="36"/>
        <v>556</v>
      </c>
      <c r="Z56" s="261">
        <f>IFERROR(VLOOKUP(B56,'55 Bike '!$B$7:$J$139,9,0),0)</f>
        <v>2000</v>
      </c>
      <c r="AA56" s="261"/>
      <c r="AB56" s="73">
        <f t="shared" si="37"/>
        <v>2556</v>
      </c>
      <c r="AC56" s="73">
        <f t="shared" si="38"/>
        <v>15964</v>
      </c>
      <c r="AD56" s="264" t="s">
        <v>23</v>
      </c>
      <c r="AE56" s="256" t="s">
        <v>144</v>
      </c>
      <c r="AF56" s="838"/>
      <c r="AG56" s="205"/>
      <c r="AH56" s="383"/>
      <c r="AI56" s="543"/>
      <c r="AJ56" s="548"/>
      <c r="AK56" s="548"/>
      <c r="AL56" s="198"/>
      <c r="AM56" s="320"/>
      <c r="AP56" s="198"/>
    </row>
    <row r="57" spans="1:43" s="61" customFormat="1" ht="24.95" customHeight="1">
      <c r="A57" s="253">
        <v>16</v>
      </c>
      <c r="B57" s="254" t="s">
        <v>145</v>
      </c>
      <c r="C57" s="255" t="s">
        <v>146</v>
      </c>
      <c r="D57" s="278" t="str">
        <f>VLOOKUP(B57,Attendance!$B$6:$D$385,3,0)</f>
        <v>Jr. Mechanic</v>
      </c>
      <c r="E57" s="278" t="s">
        <v>97</v>
      </c>
      <c r="F57" s="523">
        <v>44673</v>
      </c>
      <c r="G57" s="257">
        <f>VLOOKUP(B57,Attendance!$B$6:$G$386,6,0)</f>
        <v>31</v>
      </c>
      <c r="H57" s="258">
        <f>VLOOKUP(B$8:B$380,Attendance!$B$6:$L$386,11,0)</f>
        <v>0</v>
      </c>
      <c r="I57" s="257">
        <f t="shared" si="27"/>
        <v>31</v>
      </c>
      <c r="J57" s="258">
        <f t="shared" si="28"/>
        <v>550</v>
      </c>
      <c r="K57" s="72">
        <v>17050</v>
      </c>
      <c r="L57" s="72">
        <f t="shared" si="29"/>
        <v>10230</v>
      </c>
      <c r="M57" s="72">
        <f t="shared" si="30"/>
        <v>5115</v>
      </c>
      <c r="N57" s="72">
        <f t="shared" si="31"/>
        <v>1023</v>
      </c>
      <c r="O57" s="72">
        <f t="shared" si="32"/>
        <v>682</v>
      </c>
      <c r="P57" s="259">
        <v>0</v>
      </c>
      <c r="Q57" s="260">
        <f t="shared" si="33"/>
        <v>17050</v>
      </c>
      <c r="R57" s="260">
        <f t="shared" si="34"/>
        <v>17050</v>
      </c>
      <c r="S57" s="261"/>
      <c r="T57" s="261"/>
      <c r="U57" s="262"/>
      <c r="V57" s="263">
        <f t="shared" si="35"/>
        <v>17050</v>
      </c>
      <c r="W57" s="72">
        <v>0</v>
      </c>
      <c r="X57" s="261">
        <f>IFERROR(VLOOKUP(B57,'Lunch bill'!$B$6:$H$30,7,0),0)</f>
        <v>0</v>
      </c>
      <c r="Y57" s="261">
        <f t="shared" si="36"/>
        <v>512</v>
      </c>
      <c r="Z57" s="261">
        <f>IFERROR(VLOOKUP(B57,'55 Bike '!$B$7:$J$139,9,0),0)</f>
        <v>2000</v>
      </c>
      <c r="AA57" s="261"/>
      <c r="AB57" s="73">
        <f t="shared" si="37"/>
        <v>2512</v>
      </c>
      <c r="AC57" s="73">
        <f t="shared" si="38"/>
        <v>14538</v>
      </c>
      <c r="AD57" s="264" t="s">
        <v>23</v>
      </c>
      <c r="AE57" s="256" t="s">
        <v>147</v>
      </c>
      <c r="AF57" s="838"/>
      <c r="AG57" s="205"/>
      <c r="AH57" s="383"/>
      <c r="AI57" s="543"/>
      <c r="AJ57" s="548"/>
      <c r="AK57" s="548"/>
      <c r="AL57" s="198"/>
      <c r="AM57" s="320"/>
      <c r="AP57" s="198"/>
    </row>
    <row r="58" spans="1:43" s="61" customFormat="1" ht="24.95" customHeight="1">
      <c r="A58" s="253">
        <v>17</v>
      </c>
      <c r="B58" s="254" t="s">
        <v>148</v>
      </c>
      <c r="C58" s="255" t="s">
        <v>149</v>
      </c>
      <c r="D58" s="278" t="str">
        <f>VLOOKUP(B58,Attendance!$B$6:$D$385,3,0)</f>
        <v>Sr. Service Engineer</v>
      </c>
      <c r="E58" s="278" t="s">
        <v>97</v>
      </c>
      <c r="F58" s="523">
        <v>44726</v>
      </c>
      <c r="G58" s="257">
        <f>VLOOKUP(B58,Attendance!$B$6:$G$386,6,0)</f>
        <v>31</v>
      </c>
      <c r="H58" s="258">
        <f>VLOOKUP(B$8:B$380,Attendance!$B$6:$L$386,11,0)</f>
        <v>0</v>
      </c>
      <c r="I58" s="257">
        <f t="shared" si="27"/>
        <v>31</v>
      </c>
      <c r="J58" s="258">
        <f t="shared" si="28"/>
        <v>1159.6774193548388</v>
      </c>
      <c r="K58" s="72">
        <v>35950</v>
      </c>
      <c r="L58" s="72">
        <f t="shared" si="29"/>
        <v>21570</v>
      </c>
      <c r="M58" s="72">
        <f t="shared" si="30"/>
        <v>10785</v>
      </c>
      <c r="N58" s="72">
        <f t="shared" si="31"/>
        <v>2157</v>
      </c>
      <c r="O58" s="72">
        <f t="shared" si="32"/>
        <v>1438</v>
      </c>
      <c r="P58" s="259">
        <v>0</v>
      </c>
      <c r="Q58" s="260">
        <f t="shared" si="33"/>
        <v>35950</v>
      </c>
      <c r="R58" s="260">
        <f t="shared" si="34"/>
        <v>35950</v>
      </c>
      <c r="S58" s="261"/>
      <c r="T58" s="261"/>
      <c r="U58" s="262"/>
      <c r="V58" s="263">
        <f t="shared" si="35"/>
        <v>35950</v>
      </c>
      <c r="W58" s="72">
        <v>0</v>
      </c>
      <c r="X58" s="261">
        <f>IFERROR(VLOOKUP(B58,'Lunch bill'!$B$6:$H$30,7,0),0)</f>
        <v>0</v>
      </c>
      <c r="Y58" s="261">
        <f t="shared" si="36"/>
        <v>1079</v>
      </c>
      <c r="Z58" s="261">
        <f>IFERROR(VLOOKUP(B58,'55 Bike '!$B$7:$J$139,9,0),0)</f>
        <v>2160</v>
      </c>
      <c r="AA58" s="261"/>
      <c r="AB58" s="73">
        <f t="shared" si="37"/>
        <v>3239</v>
      </c>
      <c r="AC58" s="73">
        <f t="shared" si="38"/>
        <v>32711</v>
      </c>
      <c r="AD58" s="264" t="s">
        <v>23</v>
      </c>
      <c r="AE58" s="256" t="s">
        <v>150</v>
      </c>
      <c r="AF58" s="838"/>
      <c r="AG58" s="205"/>
      <c r="AH58" s="383"/>
      <c r="AI58" s="543"/>
      <c r="AJ58" s="548"/>
      <c r="AK58" s="548"/>
      <c r="AL58" s="198"/>
      <c r="AM58" s="320"/>
      <c r="AP58" s="198"/>
    </row>
    <row r="59" spans="1:43" s="61" customFormat="1" ht="24.95" customHeight="1">
      <c r="A59" s="253">
        <v>18</v>
      </c>
      <c r="B59" s="254" t="s">
        <v>151</v>
      </c>
      <c r="C59" s="255" t="s">
        <v>152</v>
      </c>
      <c r="D59" s="278" t="str">
        <f>VLOOKUP(B59,Attendance!$B$6:$D$385,3,0)</f>
        <v>Asst. Mechanic</v>
      </c>
      <c r="E59" s="278" t="s">
        <v>97</v>
      </c>
      <c r="F59" s="523">
        <v>44701</v>
      </c>
      <c r="G59" s="257">
        <f>VLOOKUP(B59,Attendance!$B$6:$G$386,6,0)</f>
        <v>31</v>
      </c>
      <c r="H59" s="258">
        <f>VLOOKUP(B$8:B$380,Attendance!$B$6:$L$386,11,0)</f>
        <v>8</v>
      </c>
      <c r="I59" s="257">
        <f t="shared" si="27"/>
        <v>23</v>
      </c>
      <c r="J59" s="258">
        <f t="shared" si="28"/>
        <v>599.0322580645161</v>
      </c>
      <c r="K59" s="72">
        <v>18570</v>
      </c>
      <c r="L59" s="72">
        <f t="shared" si="29"/>
        <v>11142</v>
      </c>
      <c r="M59" s="72">
        <f t="shared" si="30"/>
        <v>5571</v>
      </c>
      <c r="N59" s="72">
        <f t="shared" si="31"/>
        <v>1114.2</v>
      </c>
      <c r="O59" s="72">
        <f t="shared" si="32"/>
        <v>742.80000000000007</v>
      </c>
      <c r="P59" s="259">
        <v>0</v>
      </c>
      <c r="Q59" s="260">
        <f t="shared" si="33"/>
        <v>18570</v>
      </c>
      <c r="R59" s="260">
        <f t="shared" si="34"/>
        <v>13778</v>
      </c>
      <c r="S59" s="261"/>
      <c r="T59" s="261"/>
      <c r="U59" s="262"/>
      <c r="V59" s="263">
        <f t="shared" si="35"/>
        <v>13778</v>
      </c>
      <c r="W59" s="72">
        <v>0</v>
      </c>
      <c r="X59" s="261">
        <f>IFERROR(VLOOKUP(B59,'Lunch bill'!$B$6:$H$30,7,0),0)</f>
        <v>0</v>
      </c>
      <c r="Y59" s="261">
        <f t="shared" si="36"/>
        <v>557</v>
      </c>
      <c r="Z59" s="261">
        <f>IFERROR(VLOOKUP(B59,'55 Bike '!$B$7:$J$139,9,0),0)</f>
        <v>0</v>
      </c>
      <c r="AA59" s="261"/>
      <c r="AB59" s="73">
        <f t="shared" si="37"/>
        <v>557</v>
      </c>
      <c r="AC59" s="73">
        <f t="shared" si="38"/>
        <v>13221</v>
      </c>
      <c r="AD59" s="264" t="s">
        <v>23</v>
      </c>
      <c r="AE59" s="256" t="s">
        <v>153</v>
      </c>
      <c r="AF59" s="838"/>
      <c r="AG59" s="205"/>
      <c r="AH59" s="383"/>
      <c r="AI59" s="543"/>
      <c r="AJ59" s="548"/>
      <c r="AK59" s="548"/>
      <c r="AL59" s="198"/>
      <c r="AM59" s="320"/>
      <c r="AP59" s="198"/>
    </row>
    <row r="60" spans="1:43" s="61" customFormat="1" ht="24.95" customHeight="1">
      <c r="A60" s="253">
        <v>19</v>
      </c>
      <c r="B60" s="254" t="s">
        <v>154</v>
      </c>
      <c r="C60" s="255" t="s">
        <v>155</v>
      </c>
      <c r="D60" s="278" t="str">
        <f>VLOOKUP(B60,Attendance!$B$6:$D$385,3,0)</f>
        <v>Mechanic</v>
      </c>
      <c r="E60" s="278" t="s">
        <v>97</v>
      </c>
      <c r="F60" s="523">
        <v>44687</v>
      </c>
      <c r="G60" s="257">
        <f>VLOOKUP(B60,Attendance!$B$6:$G$386,6,0)</f>
        <v>31</v>
      </c>
      <c r="H60" s="258">
        <f>VLOOKUP(B$8:B$380,Attendance!$B$6:$L$386,11,0)</f>
        <v>0</v>
      </c>
      <c r="I60" s="257">
        <f t="shared" si="27"/>
        <v>31</v>
      </c>
      <c r="J60" s="258">
        <f t="shared" si="28"/>
        <v>610.32258064516134</v>
      </c>
      <c r="K60" s="72">
        <v>18920</v>
      </c>
      <c r="L60" s="72">
        <f t="shared" si="29"/>
        <v>11352</v>
      </c>
      <c r="M60" s="72">
        <f t="shared" si="30"/>
        <v>5676</v>
      </c>
      <c r="N60" s="72">
        <f t="shared" si="31"/>
        <v>1135.2</v>
      </c>
      <c r="O60" s="72">
        <f t="shared" si="32"/>
        <v>756.80000000000007</v>
      </c>
      <c r="P60" s="259">
        <v>0</v>
      </c>
      <c r="Q60" s="260">
        <f t="shared" si="33"/>
        <v>18920</v>
      </c>
      <c r="R60" s="260">
        <f t="shared" si="34"/>
        <v>18920</v>
      </c>
      <c r="S60" s="261"/>
      <c r="T60" s="261"/>
      <c r="U60" s="262"/>
      <c r="V60" s="263">
        <f t="shared" si="35"/>
        <v>18920</v>
      </c>
      <c r="W60" s="72">
        <v>0</v>
      </c>
      <c r="X60" s="261">
        <f>IFERROR(VLOOKUP(B60,'Lunch bill'!$B$6:$H$30,7,0),0)</f>
        <v>0</v>
      </c>
      <c r="Y60" s="261">
        <f t="shared" si="36"/>
        <v>568</v>
      </c>
      <c r="Z60" s="261">
        <f>IFERROR(VLOOKUP(B60,'55 Bike '!$B$7:$J$139,9,0),0)</f>
        <v>842</v>
      </c>
      <c r="AA60" s="261"/>
      <c r="AB60" s="73">
        <f t="shared" si="37"/>
        <v>1410</v>
      </c>
      <c r="AC60" s="73">
        <f t="shared" si="38"/>
        <v>17510</v>
      </c>
      <c r="AD60" s="264" t="s">
        <v>23</v>
      </c>
      <c r="AE60" s="256" t="s">
        <v>156</v>
      </c>
      <c r="AF60" s="838"/>
      <c r="AG60" s="205"/>
      <c r="AH60" s="383"/>
      <c r="AI60" s="543"/>
      <c r="AJ60" s="548"/>
      <c r="AK60" s="548"/>
      <c r="AL60" s="198"/>
      <c r="AM60" s="320"/>
      <c r="AP60" s="198"/>
    </row>
    <row r="61" spans="1:43" s="47" customFormat="1" ht="24.95" customHeight="1">
      <c r="A61" s="253">
        <v>20</v>
      </c>
      <c r="B61" s="254" t="s">
        <v>157</v>
      </c>
      <c r="C61" s="255" t="s">
        <v>158</v>
      </c>
      <c r="D61" s="278" t="str">
        <f>VLOOKUP(B61,Attendance!$B$6:$D$385,3,0)</f>
        <v>Jr. Mechanic</v>
      </c>
      <c r="E61" s="278" t="s">
        <v>97</v>
      </c>
      <c r="F61" s="523">
        <v>44713</v>
      </c>
      <c r="G61" s="257">
        <f>VLOOKUP(B61,Attendance!$B$6:$G$386,6,0)</f>
        <v>31</v>
      </c>
      <c r="H61" s="258">
        <f>VLOOKUP(B$8:B$380,Attendance!$B$6:$L$386,11,0)</f>
        <v>0</v>
      </c>
      <c r="I61" s="257">
        <f t="shared" si="27"/>
        <v>31</v>
      </c>
      <c r="J61" s="258">
        <f t="shared" si="28"/>
        <v>806.45161290322585</v>
      </c>
      <c r="K61" s="72">
        <v>17650</v>
      </c>
      <c r="L61" s="72">
        <f t="shared" si="29"/>
        <v>10590</v>
      </c>
      <c r="M61" s="72">
        <f t="shared" si="30"/>
        <v>5295</v>
      </c>
      <c r="N61" s="72">
        <f t="shared" si="31"/>
        <v>1059</v>
      </c>
      <c r="O61" s="72">
        <f t="shared" si="32"/>
        <v>706</v>
      </c>
      <c r="P61" s="850">
        <v>7350</v>
      </c>
      <c r="Q61" s="260">
        <f t="shared" si="33"/>
        <v>25000</v>
      </c>
      <c r="R61" s="260">
        <f t="shared" si="34"/>
        <v>25000</v>
      </c>
      <c r="S61" s="261"/>
      <c r="T61" s="261"/>
      <c r="U61" s="262"/>
      <c r="V61" s="263">
        <f t="shared" si="35"/>
        <v>25000</v>
      </c>
      <c r="W61" s="72">
        <v>0</v>
      </c>
      <c r="X61" s="261">
        <f>IFERROR(VLOOKUP(B61,'Lunch bill'!$B$6:$H$30,7,0),0)</f>
        <v>0</v>
      </c>
      <c r="Y61" s="261">
        <f t="shared" ref="Y61:Y87" si="39">ROUND(IF($AH$4-F61&gt;=360,L61*5%,0),0)</f>
        <v>530</v>
      </c>
      <c r="Z61" s="261">
        <f>IFERROR(VLOOKUP(B61,'55 Bike '!$B$7:$J$139,9,0),0)</f>
        <v>842</v>
      </c>
      <c r="AA61" s="261"/>
      <c r="AB61" s="73">
        <f t="shared" si="37"/>
        <v>1372</v>
      </c>
      <c r="AC61" s="73">
        <f t="shared" si="38"/>
        <v>23628</v>
      </c>
      <c r="AD61" s="264" t="s">
        <v>23</v>
      </c>
      <c r="AE61" s="256" t="s">
        <v>159</v>
      </c>
      <c r="AF61" s="838"/>
      <c r="AG61" s="205"/>
      <c r="AH61" s="383"/>
      <c r="AI61" s="543"/>
      <c r="AJ61" s="548"/>
      <c r="AK61" s="548"/>
      <c r="AL61" s="198"/>
      <c r="AM61" s="320"/>
      <c r="AN61" s="61"/>
      <c r="AO61" s="61"/>
      <c r="AP61" s="198"/>
      <c r="AQ61" s="61"/>
    </row>
    <row r="62" spans="1:43" s="47" customFormat="1" ht="24.95" customHeight="1">
      <c r="A62" s="253">
        <v>21</v>
      </c>
      <c r="B62" s="254" t="s">
        <v>160</v>
      </c>
      <c r="C62" s="255" t="s">
        <v>161</v>
      </c>
      <c r="D62" s="278" t="str">
        <f>VLOOKUP(B62,Attendance!$B$6:$D$385,3,0)</f>
        <v>Jr. Mechanic</v>
      </c>
      <c r="E62" s="278" t="s">
        <v>97</v>
      </c>
      <c r="F62" s="523">
        <v>44713</v>
      </c>
      <c r="G62" s="257">
        <f>VLOOKUP(B62,Attendance!$B$6:$G$386,6,0)</f>
        <v>31</v>
      </c>
      <c r="H62" s="258">
        <f>VLOOKUP(B$8:B$380,Attendance!$B$6:$L$386,11,0)</f>
        <v>0</v>
      </c>
      <c r="I62" s="257">
        <f t="shared" si="27"/>
        <v>31</v>
      </c>
      <c r="J62" s="258">
        <f t="shared" si="28"/>
        <v>550</v>
      </c>
      <c r="K62" s="72">
        <v>17050</v>
      </c>
      <c r="L62" s="72">
        <f t="shared" si="29"/>
        <v>10230</v>
      </c>
      <c r="M62" s="72">
        <f t="shared" si="30"/>
        <v>5115</v>
      </c>
      <c r="N62" s="72">
        <f t="shared" si="31"/>
        <v>1023</v>
      </c>
      <c r="O62" s="72">
        <f t="shared" si="32"/>
        <v>682</v>
      </c>
      <c r="P62" s="259">
        <v>0</v>
      </c>
      <c r="Q62" s="260">
        <f t="shared" si="33"/>
        <v>17050</v>
      </c>
      <c r="R62" s="260">
        <f t="shared" si="34"/>
        <v>17050</v>
      </c>
      <c r="S62" s="261"/>
      <c r="T62" s="261"/>
      <c r="U62" s="262"/>
      <c r="V62" s="263">
        <f t="shared" si="35"/>
        <v>17050</v>
      </c>
      <c r="W62" s="72">
        <v>0</v>
      </c>
      <c r="X62" s="261">
        <f>IFERROR(VLOOKUP(B62,'Lunch bill'!$B$6:$H$30,7,0),0)</f>
        <v>0</v>
      </c>
      <c r="Y62" s="261">
        <f t="shared" si="39"/>
        <v>512</v>
      </c>
      <c r="Z62" s="261">
        <f>IFERROR(VLOOKUP(B62,'55 Bike '!$B$7:$J$139,9,0),0)</f>
        <v>842</v>
      </c>
      <c r="AA62" s="261"/>
      <c r="AB62" s="73">
        <f t="shared" si="37"/>
        <v>1354</v>
      </c>
      <c r="AC62" s="73">
        <f t="shared" si="38"/>
        <v>15696</v>
      </c>
      <c r="AD62" s="264" t="s">
        <v>23</v>
      </c>
      <c r="AE62" s="256" t="s">
        <v>162</v>
      </c>
      <c r="AF62" s="838"/>
      <c r="AG62" s="205"/>
      <c r="AH62" s="383"/>
      <c r="AI62" s="543"/>
      <c r="AJ62" s="548"/>
      <c r="AK62" s="548"/>
      <c r="AL62" s="198"/>
      <c r="AM62" s="320"/>
      <c r="AN62" s="61"/>
      <c r="AO62" s="61"/>
      <c r="AP62" s="198"/>
      <c r="AQ62" s="61"/>
    </row>
    <row r="63" spans="1:43" s="47" customFormat="1" ht="24.95" customHeight="1">
      <c r="A63" s="253">
        <v>22</v>
      </c>
      <c r="B63" s="254" t="s">
        <v>163</v>
      </c>
      <c r="C63" s="255" t="s">
        <v>164</v>
      </c>
      <c r="D63" s="278" t="str">
        <f>VLOOKUP(B63,Attendance!$B$6:$D$385,3,0)</f>
        <v>Service Engineer</v>
      </c>
      <c r="E63" s="278" t="s">
        <v>97</v>
      </c>
      <c r="F63" s="523">
        <v>44759</v>
      </c>
      <c r="G63" s="257">
        <f>VLOOKUP(B63,Attendance!$B$6:$G$386,6,0)</f>
        <v>31</v>
      </c>
      <c r="H63" s="258">
        <f>VLOOKUP(B$8:B$380,Attendance!$B$6:$L$386,11,0)</f>
        <v>0</v>
      </c>
      <c r="I63" s="257">
        <f t="shared" si="27"/>
        <v>31</v>
      </c>
      <c r="J63" s="258">
        <f t="shared" si="28"/>
        <v>920.64516129032256</v>
      </c>
      <c r="K63" s="72">
        <v>28540</v>
      </c>
      <c r="L63" s="72">
        <f t="shared" si="29"/>
        <v>17124</v>
      </c>
      <c r="M63" s="72">
        <f t="shared" si="30"/>
        <v>8562</v>
      </c>
      <c r="N63" s="72">
        <f t="shared" si="31"/>
        <v>1712.3999999999999</v>
      </c>
      <c r="O63" s="72">
        <f t="shared" si="32"/>
        <v>1141.6000000000001</v>
      </c>
      <c r="P63" s="259"/>
      <c r="Q63" s="260">
        <f t="shared" si="33"/>
        <v>28540</v>
      </c>
      <c r="R63" s="260">
        <f t="shared" si="34"/>
        <v>28540</v>
      </c>
      <c r="S63" s="261"/>
      <c r="T63" s="261"/>
      <c r="U63" s="262"/>
      <c r="V63" s="263">
        <f t="shared" si="35"/>
        <v>28540</v>
      </c>
      <c r="W63" s="72"/>
      <c r="X63" s="261">
        <f>IFERROR(VLOOKUP(B63,'Lunch bill'!$B$6:$H$30,7,0),0)</f>
        <v>0</v>
      </c>
      <c r="Y63" s="261">
        <f t="shared" si="39"/>
        <v>856</v>
      </c>
      <c r="Z63" s="261">
        <f>IFERROR(VLOOKUP(B63,'55 Bike '!$B$7:$J$139,9,0),0)</f>
        <v>1058</v>
      </c>
      <c r="AA63" s="261"/>
      <c r="AB63" s="73">
        <f t="shared" si="37"/>
        <v>1914</v>
      </c>
      <c r="AC63" s="73">
        <f t="shared" si="38"/>
        <v>26626</v>
      </c>
      <c r="AD63" s="264" t="s">
        <v>23</v>
      </c>
      <c r="AE63" s="256" t="s">
        <v>165</v>
      </c>
      <c r="AF63" s="838"/>
      <c r="AG63" s="205"/>
      <c r="AH63" s="383"/>
      <c r="AI63" s="543"/>
      <c r="AJ63" s="548"/>
      <c r="AK63" s="548"/>
      <c r="AL63" s="198"/>
      <c r="AM63" s="320"/>
      <c r="AN63" s="61"/>
      <c r="AO63" s="61"/>
      <c r="AP63" s="198"/>
      <c r="AQ63" s="61"/>
    </row>
    <row r="64" spans="1:43" s="61" customFormat="1" ht="24.95" customHeight="1">
      <c r="A64" s="253">
        <v>23</v>
      </c>
      <c r="B64" s="254" t="s">
        <v>166</v>
      </c>
      <c r="C64" s="255" t="s">
        <v>167</v>
      </c>
      <c r="D64" s="278" t="str">
        <f>VLOOKUP(B64,Attendance!$B$6:$D$385,3,0)</f>
        <v>Service Engineer</v>
      </c>
      <c r="E64" s="278" t="s">
        <v>97</v>
      </c>
      <c r="F64" s="523">
        <v>44762</v>
      </c>
      <c r="G64" s="257">
        <f>VLOOKUP(B64,Attendance!$B$6:$G$386,6,0)</f>
        <v>31</v>
      </c>
      <c r="H64" s="258">
        <f>VLOOKUP(B$8:B$380,Attendance!$B$6:$L$386,11,0)</f>
        <v>0</v>
      </c>
      <c r="I64" s="257">
        <f t="shared" si="27"/>
        <v>31</v>
      </c>
      <c r="J64" s="258">
        <f t="shared" si="28"/>
        <v>872.25806451612902</v>
      </c>
      <c r="K64" s="72">
        <v>27040</v>
      </c>
      <c r="L64" s="72">
        <f t="shared" si="29"/>
        <v>16224</v>
      </c>
      <c r="M64" s="72">
        <f t="shared" si="30"/>
        <v>8112</v>
      </c>
      <c r="N64" s="72">
        <f t="shared" si="31"/>
        <v>1622.3999999999999</v>
      </c>
      <c r="O64" s="72">
        <f t="shared" si="32"/>
        <v>1081.5999999999999</v>
      </c>
      <c r="P64" s="259"/>
      <c r="Q64" s="260">
        <f t="shared" si="33"/>
        <v>27040</v>
      </c>
      <c r="R64" s="260">
        <f t="shared" si="34"/>
        <v>27040</v>
      </c>
      <c r="S64" s="261"/>
      <c r="T64" s="261"/>
      <c r="U64" s="262"/>
      <c r="V64" s="263">
        <f t="shared" si="35"/>
        <v>27040</v>
      </c>
      <c r="W64" s="72"/>
      <c r="X64" s="261">
        <f>IFERROR(VLOOKUP(B64,'Lunch bill'!$B$6:$H$30,7,0),0)</f>
        <v>0</v>
      </c>
      <c r="Y64" s="261">
        <f t="shared" si="39"/>
        <v>811</v>
      </c>
      <c r="Z64" s="261">
        <f>IFERROR(VLOOKUP(B64,'55 Bike '!$B$7:$J$139,9,0),0)</f>
        <v>1058</v>
      </c>
      <c r="AA64" s="261"/>
      <c r="AB64" s="73">
        <f t="shared" si="37"/>
        <v>1869</v>
      </c>
      <c r="AC64" s="73">
        <f t="shared" si="38"/>
        <v>25171</v>
      </c>
      <c r="AD64" s="264" t="s">
        <v>23</v>
      </c>
      <c r="AE64" s="256" t="s">
        <v>168</v>
      </c>
      <c r="AF64" s="838"/>
      <c r="AG64" s="205"/>
      <c r="AH64" s="383"/>
      <c r="AI64" s="543"/>
      <c r="AJ64" s="548"/>
      <c r="AK64" s="548"/>
      <c r="AL64" s="198"/>
      <c r="AM64" s="320"/>
      <c r="AP64" s="198"/>
    </row>
    <row r="65" spans="1:43" s="832" customFormat="1" ht="24.95" customHeight="1">
      <c r="A65" s="253">
        <v>24</v>
      </c>
      <c r="B65" s="813" t="s">
        <v>169</v>
      </c>
      <c r="C65" s="814" t="s">
        <v>170</v>
      </c>
      <c r="D65" s="815" t="str">
        <f>VLOOKUP(B65,Attendance!$B$6:$D$385,3,0)</f>
        <v>Assistant Manager</v>
      </c>
      <c r="E65" s="815" t="s">
        <v>97</v>
      </c>
      <c r="F65" s="816">
        <v>44828</v>
      </c>
      <c r="G65" s="817">
        <f>VLOOKUP(B65,Attendance!$B$6:$G$386,6,0)</f>
        <v>31</v>
      </c>
      <c r="H65" s="818">
        <f>VLOOKUP(B$8:B$380,Attendance!$B$6:$L$386,11,0)</f>
        <v>0</v>
      </c>
      <c r="I65" s="817">
        <f t="shared" si="27"/>
        <v>31</v>
      </c>
      <c r="J65" s="818">
        <f t="shared" si="28"/>
        <v>1369.3548387096773</v>
      </c>
      <c r="K65" s="767">
        <v>42450</v>
      </c>
      <c r="L65" s="767">
        <f t="shared" si="29"/>
        <v>25470</v>
      </c>
      <c r="M65" s="767">
        <f t="shared" si="30"/>
        <v>12735</v>
      </c>
      <c r="N65" s="767">
        <f t="shared" si="31"/>
        <v>2547</v>
      </c>
      <c r="O65" s="767">
        <f t="shared" si="32"/>
        <v>1698</v>
      </c>
      <c r="P65" s="819"/>
      <c r="Q65" s="820">
        <f t="shared" si="33"/>
        <v>42450</v>
      </c>
      <c r="R65" s="820">
        <f t="shared" si="34"/>
        <v>42450</v>
      </c>
      <c r="S65" s="766"/>
      <c r="T65" s="766"/>
      <c r="U65" s="821"/>
      <c r="V65" s="822">
        <f t="shared" si="35"/>
        <v>42450</v>
      </c>
      <c r="W65" s="767">
        <v>715</v>
      </c>
      <c r="X65" s="766">
        <f>IFERROR(VLOOKUP(B65,'Lunch bill'!$B$6:$H$30,7,0),0)</f>
        <v>300</v>
      </c>
      <c r="Y65" s="766">
        <f t="shared" si="39"/>
        <v>1274</v>
      </c>
      <c r="Z65" s="766">
        <f>IFERROR(VLOOKUP(B65,'55 Bike '!$B$7:$J$139,9,0),0)</f>
        <v>0</v>
      </c>
      <c r="AA65" s="766"/>
      <c r="AB65" s="823">
        <f t="shared" si="37"/>
        <v>2289</v>
      </c>
      <c r="AC65" s="823">
        <f t="shared" si="38"/>
        <v>40161</v>
      </c>
      <c r="AD65" s="824" t="s">
        <v>23</v>
      </c>
      <c r="AE65" s="825" t="s">
        <v>687</v>
      </c>
      <c r="AF65" s="838"/>
      <c r="AG65" s="826"/>
      <c r="AH65" s="827"/>
      <c r="AI65" s="828"/>
      <c r="AJ65" s="829"/>
      <c r="AK65" s="829"/>
      <c r="AL65" s="830"/>
      <c r="AM65" s="831"/>
      <c r="AP65" s="830"/>
    </row>
    <row r="66" spans="1:43" s="61" customFormat="1" ht="24.95" customHeight="1">
      <c r="A66" s="253">
        <v>25</v>
      </c>
      <c r="B66" s="254" t="s">
        <v>171</v>
      </c>
      <c r="C66" s="255" t="s">
        <v>172</v>
      </c>
      <c r="D66" s="278" t="str">
        <f>VLOOKUP(B66,Attendance!$B$6:$D$385,3,0)</f>
        <v>Jr. Mechanic</v>
      </c>
      <c r="E66" s="278" t="s">
        <v>97</v>
      </c>
      <c r="F66" s="523">
        <v>44817</v>
      </c>
      <c r="G66" s="257">
        <f>VLOOKUP(B66,Attendance!$B$6:$G$386,6,0)</f>
        <v>31</v>
      </c>
      <c r="H66" s="258">
        <f>VLOOKUP(B$8:B$380,Attendance!$B$6:$L$386,11,0)</f>
        <v>0</v>
      </c>
      <c r="I66" s="257">
        <f t="shared" si="27"/>
        <v>31</v>
      </c>
      <c r="J66" s="258">
        <f t="shared" si="28"/>
        <v>550</v>
      </c>
      <c r="K66" s="72">
        <v>17050</v>
      </c>
      <c r="L66" s="72">
        <f t="shared" si="29"/>
        <v>10230</v>
      </c>
      <c r="M66" s="72">
        <f t="shared" si="30"/>
        <v>5115</v>
      </c>
      <c r="N66" s="72">
        <f t="shared" si="31"/>
        <v>1023</v>
      </c>
      <c r="O66" s="72">
        <f t="shared" si="32"/>
        <v>682</v>
      </c>
      <c r="P66" s="259"/>
      <c r="Q66" s="260">
        <f t="shared" si="33"/>
        <v>17050</v>
      </c>
      <c r="R66" s="260">
        <f t="shared" si="34"/>
        <v>17050</v>
      </c>
      <c r="S66" s="261"/>
      <c r="T66" s="261"/>
      <c r="U66" s="262"/>
      <c r="V66" s="263">
        <f t="shared" si="35"/>
        <v>17050</v>
      </c>
      <c r="W66" s="72"/>
      <c r="X66" s="261">
        <f>IFERROR(VLOOKUP(B66,'Lunch bill'!$B$6:$H$30,7,0),0)</f>
        <v>0</v>
      </c>
      <c r="Y66" s="261">
        <f t="shared" si="39"/>
        <v>512</v>
      </c>
      <c r="Z66" s="261">
        <f>IFERROR(VLOOKUP(B66,'55 Bike '!$B$7:$J$139,9,0),0)</f>
        <v>842</v>
      </c>
      <c r="AA66" s="261"/>
      <c r="AB66" s="73">
        <f t="shared" si="37"/>
        <v>1354</v>
      </c>
      <c r="AC66" s="73">
        <f t="shared" si="38"/>
        <v>15696</v>
      </c>
      <c r="AD66" s="264" t="s">
        <v>23</v>
      </c>
      <c r="AE66" s="256" t="s">
        <v>173</v>
      </c>
      <c r="AF66" s="838"/>
      <c r="AG66" s="205"/>
      <c r="AH66" s="383"/>
      <c r="AI66" s="543"/>
      <c r="AJ66" s="548"/>
      <c r="AK66" s="548"/>
      <c r="AL66" s="198"/>
      <c r="AM66" s="320"/>
      <c r="AP66" s="198"/>
    </row>
    <row r="67" spans="1:43" s="47" customFormat="1" ht="24.95" customHeight="1">
      <c r="A67" s="253">
        <v>26</v>
      </c>
      <c r="B67" s="254" t="s">
        <v>174</v>
      </c>
      <c r="C67" s="255" t="s">
        <v>175</v>
      </c>
      <c r="D67" s="278" t="str">
        <f>VLOOKUP(B67,Attendance!$B$6:$D$385,3,0)</f>
        <v>Jr. Mechanic</v>
      </c>
      <c r="E67" s="278" t="s">
        <v>97</v>
      </c>
      <c r="F67" s="523">
        <v>44817</v>
      </c>
      <c r="G67" s="257">
        <f>VLOOKUP(B67,Attendance!$B$6:$G$386,6,0)</f>
        <v>31</v>
      </c>
      <c r="H67" s="258">
        <f>VLOOKUP(B$8:B$380,Attendance!$B$6:$L$386,11,0)</f>
        <v>1</v>
      </c>
      <c r="I67" s="257">
        <f t="shared" si="27"/>
        <v>30</v>
      </c>
      <c r="J67" s="258">
        <f t="shared" si="28"/>
        <v>550</v>
      </c>
      <c r="K67" s="72">
        <v>17050</v>
      </c>
      <c r="L67" s="72">
        <f t="shared" si="29"/>
        <v>10230</v>
      </c>
      <c r="M67" s="72">
        <f t="shared" si="30"/>
        <v>5115</v>
      </c>
      <c r="N67" s="72">
        <f t="shared" si="31"/>
        <v>1023</v>
      </c>
      <c r="O67" s="72">
        <f t="shared" si="32"/>
        <v>682</v>
      </c>
      <c r="P67" s="259"/>
      <c r="Q67" s="260">
        <f t="shared" si="33"/>
        <v>17050</v>
      </c>
      <c r="R67" s="260">
        <f t="shared" si="34"/>
        <v>16500</v>
      </c>
      <c r="S67" s="261"/>
      <c r="T67" s="261"/>
      <c r="U67" s="262"/>
      <c r="V67" s="263">
        <f t="shared" si="35"/>
        <v>16500</v>
      </c>
      <c r="W67" s="72"/>
      <c r="X67" s="261">
        <f>IFERROR(VLOOKUP(B67,'Lunch bill'!$B$6:$H$30,7,0),0)</f>
        <v>0</v>
      </c>
      <c r="Y67" s="261">
        <f t="shared" si="39"/>
        <v>512</v>
      </c>
      <c r="Z67" s="261">
        <f>IFERROR(VLOOKUP(B67,'55 Bike '!$B$7:$J$139,9,0),0)</f>
        <v>842</v>
      </c>
      <c r="AA67" s="261"/>
      <c r="AB67" s="73">
        <f t="shared" si="37"/>
        <v>1354</v>
      </c>
      <c r="AC67" s="73">
        <f t="shared" si="38"/>
        <v>15146</v>
      </c>
      <c r="AD67" s="264" t="s">
        <v>23</v>
      </c>
      <c r="AE67" s="256" t="s">
        <v>176</v>
      </c>
      <c r="AF67" s="838"/>
      <c r="AG67" s="205"/>
      <c r="AH67" s="383"/>
      <c r="AI67" s="543"/>
      <c r="AJ67" s="548"/>
      <c r="AK67" s="548"/>
      <c r="AL67" s="198"/>
      <c r="AM67" s="320"/>
      <c r="AN67" s="61"/>
      <c r="AO67" s="61"/>
      <c r="AP67" s="198"/>
      <c r="AQ67" s="61"/>
    </row>
    <row r="68" spans="1:43" s="61" customFormat="1" ht="24.95" customHeight="1">
      <c r="A68" s="253">
        <v>27</v>
      </c>
      <c r="B68" s="254" t="s">
        <v>179</v>
      </c>
      <c r="C68" s="255" t="s">
        <v>180</v>
      </c>
      <c r="D68" s="278" t="str">
        <f>VLOOKUP(B68,Attendance!$B$6:$D$385,3,0)</f>
        <v>Mechanic</v>
      </c>
      <c r="E68" s="278" t="s">
        <v>97</v>
      </c>
      <c r="F68" s="523">
        <v>44835</v>
      </c>
      <c r="G68" s="257">
        <f>VLOOKUP(B68,Attendance!$B$6:$G$386,6,0)</f>
        <v>31</v>
      </c>
      <c r="H68" s="258">
        <f>VLOOKUP(B$8:B$380,Attendance!$B$6:$L$386,11,0)</f>
        <v>0</v>
      </c>
      <c r="I68" s="257">
        <f t="shared" ref="I68:I94" si="40">G68-H68</f>
        <v>31</v>
      </c>
      <c r="J68" s="258">
        <f t="shared" ref="J68:J94" si="41">Q68/G68</f>
        <v>645.16129032258061</v>
      </c>
      <c r="K68" s="72">
        <v>20000</v>
      </c>
      <c r="L68" s="72">
        <f t="shared" ref="L68:L94" si="42">K68*60%</f>
        <v>12000</v>
      </c>
      <c r="M68" s="72">
        <f t="shared" ref="M68:M94" si="43">K68*30%</f>
        <v>6000</v>
      </c>
      <c r="N68" s="72">
        <f t="shared" ref="N68:N94" si="44">K68*6%</f>
        <v>1200</v>
      </c>
      <c r="O68" s="72">
        <f t="shared" ref="O68:O94" si="45">K68*4%</f>
        <v>800</v>
      </c>
      <c r="P68" s="259"/>
      <c r="Q68" s="260">
        <f t="shared" ref="Q68:Q94" si="46">SUM(L68:P68)</f>
        <v>20000</v>
      </c>
      <c r="R68" s="260">
        <f t="shared" ref="R68:R94" si="47">ROUND(I68*J68,)</f>
        <v>20000</v>
      </c>
      <c r="S68" s="261"/>
      <c r="T68" s="261"/>
      <c r="U68" s="262"/>
      <c r="V68" s="263">
        <f t="shared" ref="V68:V94" si="48">SUM(R68:U68)</f>
        <v>20000</v>
      </c>
      <c r="W68" s="72"/>
      <c r="X68" s="261">
        <f>IFERROR(VLOOKUP(B68,'Lunch bill'!$B$6:$H$30,7,0),0)</f>
        <v>0</v>
      </c>
      <c r="Y68" s="261">
        <f t="shared" si="39"/>
        <v>600</v>
      </c>
      <c r="Z68" s="261">
        <f>IFERROR(VLOOKUP(B68,'55 Bike '!$B$7:$J$139,9,0),0)</f>
        <v>2000</v>
      </c>
      <c r="AA68" s="261"/>
      <c r="AB68" s="73">
        <f t="shared" ref="AB68:AB94" si="49">SUM(W68:AA68)</f>
        <v>2600</v>
      </c>
      <c r="AC68" s="73">
        <f t="shared" ref="AC68:AC94" si="50">ROUND(V68-AB68,0)</f>
        <v>17400</v>
      </c>
      <c r="AD68" s="264" t="s">
        <v>23</v>
      </c>
      <c r="AE68" s="256" t="s">
        <v>688</v>
      </c>
      <c r="AF68" s="838"/>
      <c r="AG68" s="205"/>
      <c r="AH68" s="383"/>
      <c r="AI68" s="543"/>
      <c r="AJ68" s="548"/>
      <c r="AK68" s="548"/>
      <c r="AL68" s="198"/>
      <c r="AM68" s="320"/>
      <c r="AP68" s="198"/>
    </row>
    <row r="69" spans="1:43" s="61" customFormat="1" ht="24.95" customHeight="1">
      <c r="A69" s="253">
        <v>28</v>
      </c>
      <c r="B69" s="254" t="s">
        <v>181</v>
      </c>
      <c r="C69" s="255" t="s">
        <v>182</v>
      </c>
      <c r="D69" s="278" t="str">
        <f>VLOOKUP(B69,Attendance!$B$6:$D$385,3,0)</f>
        <v>Jr. Mechanic</v>
      </c>
      <c r="E69" s="278" t="s">
        <v>97</v>
      </c>
      <c r="F69" s="523">
        <v>44849</v>
      </c>
      <c r="G69" s="257">
        <f>VLOOKUP(B69,Attendance!$B$6:$G$386,6,0)</f>
        <v>31</v>
      </c>
      <c r="H69" s="258">
        <f>VLOOKUP(B$8:B$380,Attendance!$B$6:$L$386,11,0)</f>
        <v>0</v>
      </c>
      <c r="I69" s="257">
        <f t="shared" si="40"/>
        <v>31</v>
      </c>
      <c r="J69" s="258">
        <f t="shared" si="41"/>
        <v>596.77419354838707</v>
      </c>
      <c r="K69" s="72">
        <v>18500</v>
      </c>
      <c r="L69" s="72">
        <f t="shared" si="42"/>
        <v>11100</v>
      </c>
      <c r="M69" s="72">
        <f t="shared" si="43"/>
        <v>5550</v>
      </c>
      <c r="N69" s="72">
        <f t="shared" si="44"/>
        <v>1110</v>
      </c>
      <c r="O69" s="72">
        <f t="shared" si="45"/>
        <v>740</v>
      </c>
      <c r="P69" s="259"/>
      <c r="Q69" s="260">
        <f t="shared" si="46"/>
        <v>18500</v>
      </c>
      <c r="R69" s="260">
        <f t="shared" si="47"/>
        <v>18500</v>
      </c>
      <c r="S69" s="261"/>
      <c r="T69" s="261"/>
      <c r="U69" s="262"/>
      <c r="V69" s="263">
        <f t="shared" si="48"/>
        <v>18500</v>
      </c>
      <c r="W69" s="72"/>
      <c r="X69" s="261">
        <f>IFERROR(VLOOKUP(B69,'Lunch bill'!$B$6:$H$30,7,0),0)</f>
        <v>0</v>
      </c>
      <c r="Y69" s="261">
        <f t="shared" si="39"/>
        <v>555</v>
      </c>
      <c r="Z69" s="261">
        <f>IFERROR(VLOOKUP(B69,'55 Bike '!$B$7:$J$139,9,0),0)</f>
        <v>0</v>
      </c>
      <c r="AA69" s="261"/>
      <c r="AB69" s="73">
        <f t="shared" si="49"/>
        <v>555</v>
      </c>
      <c r="AC69" s="73">
        <f t="shared" si="50"/>
        <v>17945</v>
      </c>
      <c r="AD69" s="264" t="s">
        <v>23</v>
      </c>
      <c r="AE69" s="256" t="s">
        <v>183</v>
      </c>
      <c r="AF69" s="838"/>
      <c r="AG69" s="205"/>
      <c r="AH69" s="383"/>
      <c r="AI69" s="543"/>
      <c r="AJ69" s="548"/>
      <c r="AK69" s="548"/>
      <c r="AL69" s="198"/>
      <c r="AM69" s="320"/>
      <c r="AP69" s="198"/>
    </row>
    <row r="70" spans="1:43" s="61" customFormat="1" ht="24.95" customHeight="1">
      <c r="A70" s="253">
        <v>29</v>
      </c>
      <c r="B70" s="254" t="s">
        <v>184</v>
      </c>
      <c r="C70" s="255" t="s">
        <v>185</v>
      </c>
      <c r="D70" s="278" t="str">
        <f>VLOOKUP(B70,Attendance!$B$6:$D$385,3,0)</f>
        <v>Jr. Mechanic</v>
      </c>
      <c r="E70" s="278" t="s">
        <v>97</v>
      </c>
      <c r="F70" s="523">
        <v>44819</v>
      </c>
      <c r="G70" s="257">
        <f>VLOOKUP(B70,Attendance!$B$6:$G$386,6,0)</f>
        <v>31</v>
      </c>
      <c r="H70" s="258">
        <f>VLOOKUP(B$8:B$380,Attendance!$B$6:$L$386,11,0)</f>
        <v>0</v>
      </c>
      <c r="I70" s="257">
        <f t="shared" si="40"/>
        <v>31</v>
      </c>
      <c r="J70" s="258">
        <f t="shared" si="41"/>
        <v>446.45161290322579</v>
      </c>
      <c r="K70" s="72">
        <v>13840</v>
      </c>
      <c r="L70" s="72">
        <f t="shared" si="42"/>
        <v>8304</v>
      </c>
      <c r="M70" s="72">
        <f t="shared" si="43"/>
        <v>4152</v>
      </c>
      <c r="N70" s="72">
        <f t="shared" si="44"/>
        <v>830.4</v>
      </c>
      <c r="O70" s="72">
        <f t="shared" si="45"/>
        <v>553.6</v>
      </c>
      <c r="P70" s="259"/>
      <c r="Q70" s="260">
        <f t="shared" si="46"/>
        <v>13840</v>
      </c>
      <c r="R70" s="260">
        <f t="shared" si="47"/>
        <v>13840</v>
      </c>
      <c r="S70" s="261"/>
      <c r="T70" s="261"/>
      <c r="U70" s="262"/>
      <c r="V70" s="263">
        <f t="shared" si="48"/>
        <v>13840</v>
      </c>
      <c r="W70" s="72"/>
      <c r="X70" s="261">
        <f>IFERROR(VLOOKUP(B70,'Lunch bill'!$B$6:$H$30,7,0),0)</f>
        <v>0</v>
      </c>
      <c r="Y70" s="261">
        <f t="shared" si="39"/>
        <v>415</v>
      </c>
      <c r="Z70" s="261">
        <f>IFERROR(VLOOKUP(B70,'55 Bike '!$B$7:$J$139,9,0),0)</f>
        <v>0</v>
      </c>
      <c r="AA70" s="261"/>
      <c r="AB70" s="73">
        <f t="shared" si="49"/>
        <v>415</v>
      </c>
      <c r="AC70" s="73">
        <f t="shared" si="50"/>
        <v>13425</v>
      </c>
      <c r="AD70" s="264" t="s">
        <v>23</v>
      </c>
      <c r="AE70" s="256" t="s">
        <v>186</v>
      </c>
      <c r="AF70" s="838"/>
      <c r="AG70" s="205"/>
      <c r="AH70" s="383"/>
      <c r="AI70" s="543"/>
      <c r="AJ70" s="548"/>
      <c r="AK70" s="548"/>
      <c r="AL70" s="198"/>
      <c r="AM70" s="320"/>
      <c r="AP70" s="198"/>
    </row>
    <row r="71" spans="1:43" s="47" customFormat="1" ht="24.95" customHeight="1">
      <c r="A71" s="253">
        <v>30</v>
      </c>
      <c r="B71" s="254" t="s">
        <v>187</v>
      </c>
      <c r="C71" s="255" t="s">
        <v>188</v>
      </c>
      <c r="D71" s="278" t="str">
        <f>VLOOKUP(B71,Attendance!$B$6:$D$385,3,0)</f>
        <v>Mechanic</v>
      </c>
      <c r="E71" s="278" t="s">
        <v>97</v>
      </c>
      <c r="F71" s="523">
        <v>44875</v>
      </c>
      <c r="G71" s="257">
        <f>VLOOKUP(B71,Attendance!$B$6:$G$386,6,0)</f>
        <v>31</v>
      </c>
      <c r="H71" s="258">
        <f>VLOOKUP(B$8:B$380,Attendance!$B$6:$L$386,11,0)</f>
        <v>0</v>
      </c>
      <c r="I71" s="257">
        <f t="shared" si="40"/>
        <v>31</v>
      </c>
      <c r="J71" s="258">
        <f t="shared" si="41"/>
        <v>725.80645161290317</v>
      </c>
      <c r="K71" s="72">
        <v>22500</v>
      </c>
      <c r="L71" s="72">
        <f t="shared" si="42"/>
        <v>13500</v>
      </c>
      <c r="M71" s="72">
        <f t="shared" si="43"/>
        <v>6750</v>
      </c>
      <c r="N71" s="72">
        <f t="shared" si="44"/>
        <v>1350</v>
      </c>
      <c r="O71" s="72">
        <f t="shared" si="45"/>
        <v>900</v>
      </c>
      <c r="P71" s="259"/>
      <c r="Q71" s="260">
        <f t="shared" si="46"/>
        <v>22500</v>
      </c>
      <c r="R71" s="260">
        <f t="shared" si="47"/>
        <v>22500</v>
      </c>
      <c r="S71" s="261"/>
      <c r="T71" s="261"/>
      <c r="U71" s="262"/>
      <c r="V71" s="263">
        <f t="shared" si="48"/>
        <v>22500</v>
      </c>
      <c r="W71" s="72"/>
      <c r="X71" s="261">
        <f>IFERROR(VLOOKUP(B71,'Lunch bill'!$B$6:$H$30,7,0),0)</f>
        <v>0</v>
      </c>
      <c r="Y71" s="261">
        <f t="shared" si="39"/>
        <v>675</v>
      </c>
      <c r="Z71" s="261">
        <f>IFERROR(VLOOKUP(B71,'55 Bike '!$B$7:$J$139,9,0),0)</f>
        <v>842</v>
      </c>
      <c r="AA71" s="261"/>
      <c r="AB71" s="73">
        <f t="shared" si="49"/>
        <v>1517</v>
      </c>
      <c r="AC71" s="73">
        <f t="shared" si="50"/>
        <v>20983</v>
      </c>
      <c r="AD71" s="264" t="s">
        <v>23</v>
      </c>
      <c r="AE71" s="256" t="s">
        <v>189</v>
      </c>
      <c r="AF71" s="838"/>
      <c r="AG71" s="205"/>
      <c r="AH71" s="383"/>
      <c r="AI71" s="543"/>
      <c r="AJ71" s="548"/>
      <c r="AK71" s="548"/>
      <c r="AL71" s="198"/>
      <c r="AM71" s="320"/>
      <c r="AN71" s="61"/>
      <c r="AO71" s="61"/>
      <c r="AP71" s="198"/>
      <c r="AQ71" s="61"/>
    </row>
    <row r="72" spans="1:43" s="47" customFormat="1" ht="24.95" customHeight="1">
      <c r="A72" s="253">
        <v>31</v>
      </c>
      <c r="B72" s="254" t="s">
        <v>190</v>
      </c>
      <c r="C72" s="255" t="s">
        <v>191</v>
      </c>
      <c r="D72" s="278" t="str">
        <f>VLOOKUP(B72,Attendance!$B$6:$D$385,3,0)</f>
        <v>Mechanic</v>
      </c>
      <c r="E72" s="278" t="s">
        <v>97</v>
      </c>
      <c r="F72" s="523">
        <v>44882</v>
      </c>
      <c r="G72" s="257">
        <f>VLOOKUP(B72,Attendance!$B$6:$G$386,6,0)</f>
        <v>31</v>
      </c>
      <c r="H72" s="258">
        <f>VLOOKUP(B$8:B$380,Attendance!$B$6:$L$386,11,0)</f>
        <v>0</v>
      </c>
      <c r="I72" s="257">
        <f t="shared" si="40"/>
        <v>31</v>
      </c>
      <c r="J72" s="258">
        <f t="shared" si="41"/>
        <v>741.93548387096769</v>
      </c>
      <c r="K72" s="72">
        <v>23000</v>
      </c>
      <c r="L72" s="72">
        <f t="shared" si="42"/>
        <v>13800</v>
      </c>
      <c r="M72" s="72">
        <f t="shared" si="43"/>
        <v>6900</v>
      </c>
      <c r="N72" s="72">
        <f t="shared" si="44"/>
        <v>1380</v>
      </c>
      <c r="O72" s="72">
        <f t="shared" si="45"/>
        <v>920</v>
      </c>
      <c r="P72" s="259"/>
      <c r="Q72" s="260">
        <f t="shared" si="46"/>
        <v>23000</v>
      </c>
      <c r="R72" s="260">
        <f t="shared" si="47"/>
        <v>23000</v>
      </c>
      <c r="S72" s="261"/>
      <c r="T72" s="261"/>
      <c r="U72" s="262"/>
      <c r="V72" s="263">
        <f t="shared" si="48"/>
        <v>23000</v>
      </c>
      <c r="W72" s="72"/>
      <c r="X72" s="261">
        <f>IFERROR(VLOOKUP(B72,'Lunch bill'!$B$6:$H$30,7,0),0)</f>
        <v>0</v>
      </c>
      <c r="Y72" s="261">
        <f t="shared" si="39"/>
        <v>690</v>
      </c>
      <c r="Z72" s="261">
        <f>IFERROR(VLOOKUP(B72,'55 Bike '!$B$7:$J$139,9,0),0)</f>
        <v>0</v>
      </c>
      <c r="AA72" s="261"/>
      <c r="AB72" s="73">
        <f t="shared" si="49"/>
        <v>690</v>
      </c>
      <c r="AC72" s="73">
        <f t="shared" si="50"/>
        <v>22310</v>
      </c>
      <c r="AD72" s="264" t="s">
        <v>23</v>
      </c>
      <c r="AE72" s="256" t="s">
        <v>192</v>
      </c>
      <c r="AF72" s="838"/>
      <c r="AG72" s="205"/>
      <c r="AH72" s="383"/>
      <c r="AI72" s="543"/>
      <c r="AJ72" s="548"/>
      <c r="AK72" s="548"/>
      <c r="AL72" s="198"/>
      <c r="AM72" s="320"/>
      <c r="AN72" s="61"/>
      <c r="AO72" s="61"/>
      <c r="AP72" s="198"/>
      <c r="AQ72" s="61"/>
    </row>
    <row r="73" spans="1:43" s="47" customFormat="1" ht="24.95" customHeight="1">
      <c r="A73" s="253">
        <v>32</v>
      </c>
      <c r="B73" s="254" t="s">
        <v>197</v>
      </c>
      <c r="C73" s="255" t="s">
        <v>198</v>
      </c>
      <c r="D73" s="278" t="str">
        <f>VLOOKUP(B73,Attendance!$B$6:$D$385,3,0)</f>
        <v>Sr. Mechanic</v>
      </c>
      <c r="E73" s="278" t="s">
        <v>97</v>
      </c>
      <c r="F73" s="523">
        <v>44886</v>
      </c>
      <c r="G73" s="257">
        <f>VLOOKUP(B73,Attendance!$B$6:$G$386,6,0)</f>
        <v>31</v>
      </c>
      <c r="H73" s="258">
        <f>VLOOKUP(B$8:B$380,Attendance!$B$6:$L$386,11,0)</f>
        <v>0</v>
      </c>
      <c r="I73" s="257">
        <f t="shared" si="40"/>
        <v>31</v>
      </c>
      <c r="J73" s="258">
        <f t="shared" si="41"/>
        <v>774.19354838709683</v>
      </c>
      <c r="K73" s="72">
        <v>24000</v>
      </c>
      <c r="L73" s="72">
        <f t="shared" si="42"/>
        <v>14400</v>
      </c>
      <c r="M73" s="72">
        <f t="shared" si="43"/>
        <v>7200</v>
      </c>
      <c r="N73" s="72">
        <f t="shared" si="44"/>
        <v>1440</v>
      </c>
      <c r="O73" s="72">
        <f t="shared" si="45"/>
        <v>960</v>
      </c>
      <c r="P73" s="259"/>
      <c r="Q73" s="260">
        <f t="shared" si="46"/>
        <v>24000</v>
      </c>
      <c r="R73" s="260">
        <f t="shared" si="47"/>
        <v>24000</v>
      </c>
      <c r="S73" s="261"/>
      <c r="T73" s="261"/>
      <c r="U73" s="262"/>
      <c r="V73" s="263">
        <f t="shared" si="48"/>
        <v>24000</v>
      </c>
      <c r="W73" s="72"/>
      <c r="X73" s="261">
        <f>IFERROR(VLOOKUP(B73,'Lunch bill'!$B$6:$H$30,7,0),0)</f>
        <v>0</v>
      </c>
      <c r="Y73" s="261">
        <f t="shared" si="39"/>
        <v>720</v>
      </c>
      <c r="Z73" s="261">
        <f>IFERROR(VLOOKUP(B73,'55 Bike '!$B$7:$J$139,9,0),0)</f>
        <v>842</v>
      </c>
      <c r="AA73" s="261"/>
      <c r="AB73" s="73">
        <f t="shared" si="49"/>
        <v>1562</v>
      </c>
      <c r="AC73" s="73">
        <f t="shared" si="50"/>
        <v>22438</v>
      </c>
      <c r="AD73" s="264" t="s">
        <v>23</v>
      </c>
      <c r="AE73" s="256" t="s">
        <v>199</v>
      </c>
      <c r="AF73" s="838"/>
      <c r="AG73" s="205"/>
      <c r="AH73" s="383"/>
      <c r="AI73" s="543"/>
      <c r="AJ73" s="548"/>
      <c r="AK73" s="548"/>
      <c r="AL73" s="198"/>
      <c r="AM73" s="320"/>
      <c r="AN73" s="61"/>
      <c r="AO73" s="61"/>
      <c r="AP73" s="198"/>
      <c r="AQ73" s="61"/>
    </row>
    <row r="74" spans="1:43" s="61" customFormat="1" ht="24.95" customHeight="1">
      <c r="A74" s="253">
        <v>33</v>
      </c>
      <c r="B74" s="254" t="s">
        <v>525</v>
      </c>
      <c r="C74" s="255" t="s">
        <v>526</v>
      </c>
      <c r="D74" s="278" t="str">
        <f>VLOOKUP(B74,Attendance!$B$6:$D$385,3,0)</f>
        <v>Jr. Mechanic</v>
      </c>
      <c r="E74" s="278" t="s">
        <v>97</v>
      </c>
      <c r="F74" s="523">
        <v>44945</v>
      </c>
      <c r="G74" s="257">
        <f>VLOOKUP(B74,Attendance!$B$6:$G$386,6,0)</f>
        <v>31</v>
      </c>
      <c r="H74" s="258">
        <f>VLOOKUP(B$8:B$380,Attendance!$B$6:$L$386,11,0)</f>
        <v>0</v>
      </c>
      <c r="I74" s="257">
        <f t="shared" si="40"/>
        <v>31</v>
      </c>
      <c r="J74" s="258">
        <f t="shared" si="41"/>
        <v>527.41935483870964</v>
      </c>
      <c r="K74" s="72">
        <v>16350</v>
      </c>
      <c r="L74" s="72">
        <f t="shared" si="42"/>
        <v>9810</v>
      </c>
      <c r="M74" s="72">
        <f t="shared" si="43"/>
        <v>4905</v>
      </c>
      <c r="N74" s="72">
        <f t="shared" si="44"/>
        <v>981</v>
      </c>
      <c r="O74" s="72">
        <f t="shared" si="45"/>
        <v>654</v>
      </c>
      <c r="P74" s="259"/>
      <c r="Q74" s="260">
        <f t="shared" si="46"/>
        <v>16350</v>
      </c>
      <c r="R74" s="260">
        <f t="shared" si="47"/>
        <v>16350</v>
      </c>
      <c r="S74" s="261"/>
      <c r="T74" s="261"/>
      <c r="U74" s="262"/>
      <c r="V74" s="263">
        <f t="shared" si="48"/>
        <v>16350</v>
      </c>
      <c r="W74" s="72"/>
      <c r="X74" s="261">
        <f>IFERROR(VLOOKUP(B74,'Lunch bill'!$B$6:$H$30,7,0),0)</f>
        <v>0</v>
      </c>
      <c r="Y74" s="261">
        <f t="shared" si="39"/>
        <v>491</v>
      </c>
      <c r="Z74" s="261">
        <f>IFERROR(VLOOKUP(B74,'55 Bike '!$B$7:$J$139,9,0),0)</f>
        <v>0</v>
      </c>
      <c r="AA74" s="261"/>
      <c r="AB74" s="73">
        <f t="shared" si="49"/>
        <v>491</v>
      </c>
      <c r="AC74" s="73">
        <f t="shared" si="50"/>
        <v>15859</v>
      </c>
      <c r="AD74" s="264" t="s">
        <v>23</v>
      </c>
      <c r="AE74" s="256" t="s">
        <v>533</v>
      </c>
      <c r="AF74" s="838"/>
      <c r="AG74" s="205"/>
      <c r="AH74" s="383"/>
      <c r="AI74" s="543"/>
      <c r="AJ74" s="548"/>
      <c r="AK74" s="548"/>
      <c r="AL74" s="198"/>
      <c r="AM74" s="320"/>
      <c r="AP74" s="198"/>
    </row>
    <row r="75" spans="1:43" s="61" customFormat="1" ht="24.95" customHeight="1">
      <c r="A75" s="253">
        <v>34</v>
      </c>
      <c r="B75" s="254" t="s">
        <v>527</v>
      </c>
      <c r="C75" s="255" t="s">
        <v>528</v>
      </c>
      <c r="D75" s="278" t="str">
        <f>VLOOKUP(B75,Attendance!$B$6:$D$385,3,0)</f>
        <v>Mechanic</v>
      </c>
      <c r="E75" s="278" t="s">
        <v>97</v>
      </c>
      <c r="F75" s="523">
        <v>44949</v>
      </c>
      <c r="G75" s="257">
        <f>VLOOKUP(B75,Attendance!$B$6:$G$386,6,0)</f>
        <v>31</v>
      </c>
      <c r="H75" s="258">
        <f>VLOOKUP(B$8:B$380,Attendance!$B$6:$L$386,11,0)</f>
        <v>0</v>
      </c>
      <c r="I75" s="257">
        <f t="shared" si="40"/>
        <v>31</v>
      </c>
      <c r="J75" s="258">
        <f t="shared" si="41"/>
        <v>716.12903225806451</v>
      </c>
      <c r="K75" s="72">
        <v>22200</v>
      </c>
      <c r="L75" s="72">
        <f t="shared" si="42"/>
        <v>13320</v>
      </c>
      <c r="M75" s="72">
        <f t="shared" si="43"/>
        <v>6660</v>
      </c>
      <c r="N75" s="72">
        <f t="shared" si="44"/>
        <v>1332</v>
      </c>
      <c r="O75" s="72">
        <f t="shared" si="45"/>
        <v>888</v>
      </c>
      <c r="P75" s="259"/>
      <c r="Q75" s="260">
        <f t="shared" si="46"/>
        <v>22200</v>
      </c>
      <c r="R75" s="260">
        <f t="shared" si="47"/>
        <v>22200</v>
      </c>
      <c r="S75" s="261"/>
      <c r="T75" s="261"/>
      <c r="U75" s="262"/>
      <c r="V75" s="263">
        <f t="shared" si="48"/>
        <v>22200</v>
      </c>
      <c r="W75" s="72"/>
      <c r="X75" s="261">
        <f>IFERROR(VLOOKUP(B75,'Lunch bill'!$B$6:$H$30,7,0),0)</f>
        <v>0</v>
      </c>
      <c r="Y75" s="261">
        <f t="shared" si="39"/>
        <v>666</v>
      </c>
      <c r="Z75" s="261">
        <f>IFERROR(VLOOKUP(B75,'55 Bike '!$B$7:$J$139,9,0),0)</f>
        <v>2000</v>
      </c>
      <c r="AA75" s="261"/>
      <c r="AB75" s="73">
        <f t="shared" si="49"/>
        <v>2666</v>
      </c>
      <c r="AC75" s="73">
        <f t="shared" si="50"/>
        <v>19534</v>
      </c>
      <c r="AD75" s="264" t="s">
        <v>23</v>
      </c>
      <c r="AE75" s="256" t="s">
        <v>689</v>
      </c>
      <c r="AF75" s="838"/>
      <c r="AG75" s="205"/>
      <c r="AH75" s="383"/>
      <c r="AI75" s="543"/>
      <c r="AJ75" s="548"/>
      <c r="AK75" s="548"/>
      <c r="AL75" s="198"/>
      <c r="AM75" s="320"/>
      <c r="AP75" s="198"/>
    </row>
    <row r="76" spans="1:43" s="61" customFormat="1" ht="24.95" customHeight="1">
      <c r="A76" s="253">
        <v>35</v>
      </c>
      <c r="B76" s="254" t="s">
        <v>512</v>
      </c>
      <c r="C76" s="255" t="s">
        <v>513</v>
      </c>
      <c r="D76" s="278" t="str">
        <f>VLOOKUP(B76,Attendance!$B$6:$D$385,3,0)</f>
        <v>Mechanic</v>
      </c>
      <c r="E76" s="278" t="s">
        <v>97</v>
      </c>
      <c r="F76" s="523">
        <v>44694</v>
      </c>
      <c r="G76" s="257">
        <f>VLOOKUP(B76,Attendance!$B$6:$G$386,6,0)</f>
        <v>31</v>
      </c>
      <c r="H76" s="258">
        <f>VLOOKUP(B$8:B$380,Attendance!$B$6:$L$386,11,0)</f>
        <v>0</v>
      </c>
      <c r="I76" s="257">
        <f t="shared" si="40"/>
        <v>31</v>
      </c>
      <c r="J76" s="258">
        <f t="shared" si="41"/>
        <v>619.0322580645161</v>
      </c>
      <c r="K76" s="72">
        <v>19190</v>
      </c>
      <c r="L76" s="72">
        <f t="shared" si="42"/>
        <v>11514</v>
      </c>
      <c r="M76" s="72">
        <f t="shared" si="43"/>
        <v>5757</v>
      </c>
      <c r="N76" s="72">
        <f t="shared" si="44"/>
        <v>1151.3999999999999</v>
      </c>
      <c r="O76" s="72">
        <f t="shared" si="45"/>
        <v>767.6</v>
      </c>
      <c r="P76" s="259"/>
      <c r="Q76" s="260">
        <f t="shared" si="46"/>
        <v>19190</v>
      </c>
      <c r="R76" s="260">
        <f t="shared" si="47"/>
        <v>19190</v>
      </c>
      <c r="S76" s="261"/>
      <c r="T76" s="261"/>
      <c r="U76" s="262"/>
      <c r="V76" s="263">
        <f t="shared" si="48"/>
        <v>19190</v>
      </c>
      <c r="W76" s="72"/>
      <c r="X76" s="261">
        <f>IFERROR(VLOOKUP(B76,'Lunch bill'!$B$6:$H$30,7,0),0)</f>
        <v>0</v>
      </c>
      <c r="Y76" s="261">
        <f t="shared" si="39"/>
        <v>576</v>
      </c>
      <c r="Z76" s="261">
        <f>IFERROR(VLOOKUP(B76,'55 Bike '!$B$7:$J$139,9,0),0)</f>
        <v>842</v>
      </c>
      <c r="AA76" s="261"/>
      <c r="AB76" s="73">
        <f t="shared" si="49"/>
        <v>1418</v>
      </c>
      <c r="AC76" s="73">
        <f t="shared" si="50"/>
        <v>17772</v>
      </c>
      <c r="AD76" s="264" t="s">
        <v>23</v>
      </c>
      <c r="AE76" s="256" t="s">
        <v>690</v>
      </c>
      <c r="AF76" s="838"/>
      <c r="AG76" s="205"/>
      <c r="AH76" s="383"/>
      <c r="AI76" s="543"/>
      <c r="AJ76" s="548"/>
      <c r="AK76" s="548"/>
      <c r="AL76" s="198"/>
      <c r="AM76" s="320"/>
      <c r="AP76" s="198"/>
    </row>
    <row r="77" spans="1:43" s="61" customFormat="1" ht="24.95" customHeight="1">
      <c r="A77" s="253">
        <v>36</v>
      </c>
      <c r="B77" s="254" t="s">
        <v>548</v>
      </c>
      <c r="C77" s="255" t="s">
        <v>73</v>
      </c>
      <c r="D77" s="278" t="str">
        <f>VLOOKUP(B77,Attendance!$B$6:$D$385,3,0)</f>
        <v>Mechanic</v>
      </c>
      <c r="E77" s="278" t="s">
        <v>97</v>
      </c>
      <c r="F77" s="523">
        <v>44966</v>
      </c>
      <c r="G77" s="257">
        <f>VLOOKUP(B77,Attendance!$B$6:$G$386,6,0)</f>
        <v>31</v>
      </c>
      <c r="H77" s="258">
        <f>VLOOKUP(B$8:B$380,Attendance!$B$6:$L$386,11,0)</f>
        <v>0</v>
      </c>
      <c r="I77" s="257">
        <f t="shared" si="40"/>
        <v>31</v>
      </c>
      <c r="J77" s="258">
        <f t="shared" si="41"/>
        <v>616.12903225806451</v>
      </c>
      <c r="K77" s="72">
        <v>19100</v>
      </c>
      <c r="L77" s="72">
        <f t="shared" si="42"/>
        <v>11460</v>
      </c>
      <c r="M77" s="72">
        <f t="shared" si="43"/>
        <v>5730</v>
      </c>
      <c r="N77" s="72">
        <f t="shared" si="44"/>
        <v>1146</v>
      </c>
      <c r="O77" s="72">
        <f t="shared" si="45"/>
        <v>764</v>
      </c>
      <c r="P77" s="259"/>
      <c r="Q77" s="260">
        <f t="shared" si="46"/>
        <v>19100</v>
      </c>
      <c r="R77" s="260">
        <f t="shared" si="47"/>
        <v>19100</v>
      </c>
      <c r="S77" s="261"/>
      <c r="T77" s="261"/>
      <c r="U77" s="262"/>
      <c r="V77" s="263">
        <f t="shared" si="48"/>
        <v>19100</v>
      </c>
      <c r="W77" s="72"/>
      <c r="X77" s="261">
        <f>IFERROR(VLOOKUP(B77,'Lunch bill'!$B$6:$H$30,7,0),0)</f>
        <v>0</v>
      </c>
      <c r="Y77" s="261">
        <f t="shared" si="39"/>
        <v>573</v>
      </c>
      <c r="Z77" s="261">
        <f>IFERROR(VLOOKUP(B77,'55 Bike '!$B$7:$J$139,9,0),0)</f>
        <v>842</v>
      </c>
      <c r="AA77" s="261"/>
      <c r="AB77" s="73">
        <f t="shared" si="49"/>
        <v>1415</v>
      </c>
      <c r="AC77" s="73">
        <f t="shared" si="50"/>
        <v>17685</v>
      </c>
      <c r="AD77" s="264" t="s">
        <v>23</v>
      </c>
      <c r="AE77" s="256" t="s">
        <v>601</v>
      </c>
      <c r="AF77" s="838"/>
      <c r="AG77" s="205"/>
      <c r="AH77" s="383"/>
      <c r="AI77" s="543"/>
      <c r="AJ77" s="548"/>
      <c r="AK77" s="548"/>
      <c r="AL77" s="198"/>
      <c r="AM77" s="320"/>
      <c r="AP77" s="198"/>
    </row>
    <row r="78" spans="1:43" s="61" customFormat="1" ht="33" customHeight="1">
      <c r="A78" s="253">
        <v>37</v>
      </c>
      <c r="B78" s="254" t="s">
        <v>560</v>
      </c>
      <c r="C78" s="255" t="s">
        <v>561</v>
      </c>
      <c r="D78" s="278" t="str">
        <f>VLOOKUP(B78,Attendance!$B$6:$D$385,3,0)</f>
        <v>Territorry Service Manager</v>
      </c>
      <c r="E78" s="278" t="s">
        <v>97</v>
      </c>
      <c r="F78" s="523">
        <v>44979</v>
      </c>
      <c r="G78" s="257">
        <f>VLOOKUP(B78,Attendance!$B$6:$G$386,6,0)</f>
        <v>31</v>
      </c>
      <c r="H78" s="258">
        <f>VLOOKUP(B$8:B$380,Attendance!$B$6:$L$386,11,0)</f>
        <v>0</v>
      </c>
      <c r="I78" s="257">
        <f t="shared" si="40"/>
        <v>31</v>
      </c>
      <c r="J78" s="258">
        <f t="shared" si="41"/>
        <v>1516.1290322580646</v>
      </c>
      <c r="K78" s="72">
        <v>47000</v>
      </c>
      <c r="L78" s="72">
        <f t="shared" si="42"/>
        <v>28200</v>
      </c>
      <c r="M78" s="72">
        <f t="shared" si="43"/>
        <v>14100</v>
      </c>
      <c r="N78" s="72">
        <f t="shared" si="44"/>
        <v>2820</v>
      </c>
      <c r="O78" s="72">
        <f t="shared" si="45"/>
        <v>1880</v>
      </c>
      <c r="P78" s="259"/>
      <c r="Q78" s="260">
        <f t="shared" si="46"/>
        <v>47000</v>
      </c>
      <c r="R78" s="260">
        <f t="shared" si="47"/>
        <v>47000</v>
      </c>
      <c r="S78" s="261"/>
      <c r="T78" s="261"/>
      <c r="U78" s="262"/>
      <c r="V78" s="263">
        <f t="shared" si="48"/>
        <v>47000</v>
      </c>
      <c r="W78" s="72">
        <v>417</v>
      </c>
      <c r="X78" s="261">
        <f>IFERROR(VLOOKUP(B78,'Lunch bill'!$B$6:$H$30,7,0),0)</f>
        <v>0</v>
      </c>
      <c r="Y78" s="261">
        <f t="shared" si="39"/>
        <v>1410</v>
      </c>
      <c r="Z78" s="261">
        <f>IFERROR(VLOOKUP(B78,'55 Bike '!$B$7:$J$139,9,0),0)</f>
        <v>0</v>
      </c>
      <c r="AA78" s="261"/>
      <c r="AB78" s="73">
        <f t="shared" si="49"/>
        <v>1827</v>
      </c>
      <c r="AC78" s="73">
        <f t="shared" si="50"/>
        <v>45173</v>
      </c>
      <c r="AD78" s="264" t="s">
        <v>23</v>
      </c>
      <c r="AE78" s="256" t="s">
        <v>970</v>
      </c>
      <c r="AF78" s="838"/>
      <c r="AG78" s="205"/>
      <c r="AH78" s="383"/>
      <c r="AI78" s="543"/>
      <c r="AJ78" s="548"/>
      <c r="AK78" s="548"/>
      <c r="AL78" s="198"/>
      <c r="AM78" s="320"/>
      <c r="AP78" s="198"/>
    </row>
    <row r="79" spans="1:43" s="61" customFormat="1" ht="24.95" customHeight="1">
      <c r="A79" s="253">
        <v>38</v>
      </c>
      <c r="B79" s="254" t="s">
        <v>562</v>
      </c>
      <c r="C79" s="255" t="s">
        <v>563</v>
      </c>
      <c r="D79" s="278" t="str">
        <f>VLOOKUP(B79,Attendance!$B$6:$D$385,3,0)</f>
        <v>Trainee Engineer</v>
      </c>
      <c r="E79" s="278" t="s">
        <v>97</v>
      </c>
      <c r="F79" s="523">
        <v>44972</v>
      </c>
      <c r="G79" s="257">
        <f>VLOOKUP(B79,Attendance!$B$6:$G$386,6,0)</f>
        <v>31</v>
      </c>
      <c r="H79" s="258">
        <f>VLOOKUP(B$8:B$380,Attendance!$B$6:$L$386,11,0)</f>
        <v>0</v>
      </c>
      <c r="I79" s="257">
        <f t="shared" si="40"/>
        <v>31</v>
      </c>
      <c r="J79" s="258">
        <f t="shared" si="41"/>
        <v>693.54838709677415</v>
      </c>
      <c r="K79" s="72">
        <v>21500</v>
      </c>
      <c r="L79" s="72">
        <f t="shared" si="42"/>
        <v>12900</v>
      </c>
      <c r="M79" s="72">
        <f t="shared" si="43"/>
        <v>6450</v>
      </c>
      <c r="N79" s="72">
        <f t="shared" si="44"/>
        <v>1290</v>
      </c>
      <c r="O79" s="72">
        <f t="shared" si="45"/>
        <v>860</v>
      </c>
      <c r="P79" s="259"/>
      <c r="Q79" s="260">
        <f t="shared" si="46"/>
        <v>21500</v>
      </c>
      <c r="R79" s="260">
        <f t="shared" si="47"/>
        <v>21500</v>
      </c>
      <c r="S79" s="261"/>
      <c r="T79" s="261"/>
      <c r="U79" s="262"/>
      <c r="V79" s="263">
        <f t="shared" si="48"/>
        <v>21500</v>
      </c>
      <c r="W79" s="72"/>
      <c r="X79" s="261">
        <f>IFERROR(VLOOKUP(B79,'Lunch bill'!$B$6:$H$30,7,0),0)</f>
        <v>0</v>
      </c>
      <c r="Y79" s="261">
        <f t="shared" si="39"/>
        <v>645</v>
      </c>
      <c r="Z79" s="261">
        <f>IFERROR(VLOOKUP(B79,'55 Bike '!$B$7:$J$139,9,0),0)</f>
        <v>2160</v>
      </c>
      <c r="AA79" s="261"/>
      <c r="AB79" s="73">
        <f t="shared" si="49"/>
        <v>2805</v>
      </c>
      <c r="AC79" s="73">
        <f t="shared" si="50"/>
        <v>18695</v>
      </c>
      <c r="AD79" s="264" t="s">
        <v>23</v>
      </c>
      <c r="AE79" s="256" t="s">
        <v>570</v>
      </c>
      <c r="AF79" s="838"/>
      <c r="AG79" s="205"/>
      <c r="AH79" s="383"/>
      <c r="AI79" s="543"/>
      <c r="AJ79" s="548"/>
      <c r="AK79" s="548"/>
      <c r="AL79" s="198"/>
      <c r="AM79" s="320"/>
      <c r="AP79" s="198"/>
    </row>
    <row r="80" spans="1:43" s="61" customFormat="1" ht="24.95" customHeight="1">
      <c r="A80" s="253">
        <v>39</v>
      </c>
      <c r="B80" s="254" t="s">
        <v>565</v>
      </c>
      <c r="C80" s="255" t="s">
        <v>566</v>
      </c>
      <c r="D80" s="278" t="str">
        <f>VLOOKUP(B80,Attendance!$B$6:$D$385,3,0)</f>
        <v>Mechanic</v>
      </c>
      <c r="E80" s="278" t="s">
        <v>97</v>
      </c>
      <c r="F80" s="523">
        <v>44977</v>
      </c>
      <c r="G80" s="257">
        <f>VLOOKUP(B80,Attendance!$B$6:$G$386,6,0)</f>
        <v>31</v>
      </c>
      <c r="H80" s="258">
        <f>VLOOKUP(B$8:B$380,Attendance!$B$6:$L$386,11,0)</f>
        <v>0</v>
      </c>
      <c r="I80" s="257">
        <f t="shared" si="40"/>
        <v>31</v>
      </c>
      <c r="J80" s="258">
        <f t="shared" si="41"/>
        <v>693.54838709677415</v>
      </c>
      <c r="K80" s="72">
        <v>21500</v>
      </c>
      <c r="L80" s="72">
        <f t="shared" si="42"/>
        <v>12900</v>
      </c>
      <c r="M80" s="72">
        <f t="shared" si="43"/>
        <v>6450</v>
      </c>
      <c r="N80" s="72">
        <f t="shared" si="44"/>
        <v>1290</v>
      </c>
      <c r="O80" s="72">
        <f t="shared" si="45"/>
        <v>860</v>
      </c>
      <c r="P80" s="259"/>
      <c r="Q80" s="260">
        <f t="shared" si="46"/>
        <v>21500</v>
      </c>
      <c r="R80" s="260">
        <f t="shared" si="47"/>
        <v>21500</v>
      </c>
      <c r="S80" s="261"/>
      <c r="T80" s="261"/>
      <c r="U80" s="262"/>
      <c r="V80" s="263">
        <f t="shared" si="48"/>
        <v>21500</v>
      </c>
      <c r="W80" s="72"/>
      <c r="X80" s="261">
        <f>IFERROR(VLOOKUP(B80,'Lunch bill'!$B$6:$H$30,7,0),0)</f>
        <v>0</v>
      </c>
      <c r="Y80" s="261">
        <f t="shared" si="39"/>
        <v>645</v>
      </c>
      <c r="Z80" s="261">
        <f>IFERROR(VLOOKUP(B80,'55 Bike '!$B$7:$J$139,9,0),0)</f>
        <v>2000</v>
      </c>
      <c r="AA80" s="261"/>
      <c r="AB80" s="73">
        <f t="shared" si="49"/>
        <v>2645</v>
      </c>
      <c r="AC80" s="73">
        <f t="shared" si="50"/>
        <v>18855</v>
      </c>
      <c r="AD80" s="264" t="s">
        <v>23</v>
      </c>
      <c r="AE80" s="256" t="s">
        <v>569</v>
      </c>
      <c r="AF80" s="838"/>
      <c r="AG80" s="205"/>
      <c r="AH80" s="383"/>
      <c r="AI80" s="543"/>
      <c r="AJ80" s="548"/>
      <c r="AK80" s="548"/>
      <c r="AL80" s="198"/>
      <c r="AM80" s="320"/>
      <c r="AP80" s="198"/>
    </row>
    <row r="81" spans="1:42" s="61" customFormat="1" ht="24.95" customHeight="1">
      <c r="A81" s="253">
        <v>40</v>
      </c>
      <c r="B81" s="254" t="s">
        <v>606</v>
      </c>
      <c r="C81" s="255" t="s">
        <v>607</v>
      </c>
      <c r="D81" s="278" t="str">
        <f>VLOOKUP(B81,Attendance!$B$6:$D$385,3,0)</f>
        <v>Mechanic</v>
      </c>
      <c r="E81" s="278" t="s">
        <v>97</v>
      </c>
      <c r="F81" s="523">
        <v>45021</v>
      </c>
      <c r="G81" s="257">
        <f>VLOOKUP(B81,Attendance!$B$6:$G$386,6,0)</f>
        <v>31</v>
      </c>
      <c r="H81" s="258">
        <f>VLOOKUP(B$8:B$380,Attendance!$B$6:$L$386,11,0)</f>
        <v>0</v>
      </c>
      <c r="I81" s="257">
        <f t="shared" si="40"/>
        <v>31</v>
      </c>
      <c r="J81" s="258">
        <f t="shared" si="41"/>
        <v>745.16129032258061</v>
      </c>
      <c r="K81" s="72">
        <v>23100</v>
      </c>
      <c r="L81" s="72">
        <f t="shared" si="42"/>
        <v>13860</v>
      </c>
      <c r="M81" s="72">
        <f t="shared" si="43"/>
        <v>6930</v>
      </c>
      <c r="N81" s="72">
        <f t="shared" si="44"/>
        <v>1386</v>
      </c>
      <c r="O81" s="72">
        <f t="shared" si="45"/>
        <v>924</v>
      </c>
      <c r="P81" s="259"/>
      <c r="Q81" s="260">
        <f t="shared" si="46"/>
        <v>23100</v>
      </c>
      <c r="R81" s="260">
        <f t="shared" si="47"/>
        <v>23100</v>
      </c>
      <c r="S81" s="261"/>
      <c r="T81" s="261"/>
      <c r="U81" s="262"/>
      <c r="V81" s="263">
        <f t="shared" si="48"/>
        <v>23100</v>
      </c>
      <c r="W81" s="72"/>
      <c r="X81" s="261">
        <f>IFERROR(VLOOKUP(B81,'Lunch bill'!$B$6:$H$30,7,0),0)</f>
        <v>0</v>
      </c>
      <c r="Y81" s="261">
        <f t="shared" si="39"/>
        <v>693</v>
      </c>
      <c r="Z81" s="261">
        <f>IFERROR(VLOOKUP(B81,'55 Bike '!$B$7:$J$139,9,0),0)</f>
        <v>2000</v>
      </c>
      <c r="AA81" s="261"/>
      <c r="AB81" s="73">
        <f t="shared" si="49"/>
        <v>2693</v>
      </c>
      <c r="AC81" s="73">
        <f t="shared" si="50"/>
        <v>20407</v>
      </c>
      <c r="AD81" s="264" t="s">
        <v>23</v>
      </c>
      <c r="AE81" s="256" t="s">
        <v>624</v>
      </c>
      <c r="AF81" s="838"/>
      <c r="AG81" s="205"/>
      <c r="AH81" s="383"/>
      <c r="AI81" s="543"/>
      <c r="AJ81" s="548"/>
      <c r="AK81" s="548"/>
      <c r="AL81" s="198"/>
      <c r="AM81" s="320"/>
      <c r="AP81" s="198"/>
    </row>
    <row r="82" spans="1:42" s="61" customFormat="1" ht="24.95" customHeight="1">
      <c r="A82" s="253">
        <v>41</v>
      </c>
      <c r="B82" s="254" t="s">
        <v>608</v>
      </c>
      <c r="C82" s="255" t="s">
        <v>609</v>
      </c>
      <c r="D82" s="278" t="str">
        <f>VLOOKUP(B82,Attendance!$B$6:$D$385,3,0)</f>
        <v>Mechanic</v>
      </c>
      <c r="E82" s="278" t="s">
        <v>97</v>
      </c>
      <c r="F82" s="523">
        <v>45025</v>
      </c>
      <c r="G82" s="257">
        <f>VLOOKUP(B82,Attendance!$B$6:$G$386,6,0)</f>
        <v>31</v>
      </c>
      <c r="H82" s="258">
        <f>VLOOKUP(B$8:B$380,Attendance!$B$6:$L$386,11,0)</f>
        <v>0</v>
      </c>
      <c r="I82" s="257">
        <f t="shared" si="40"/>
        <v>31</v>
      </c>
      <c r="J82" s="258">
        <f t="shared" si="41"/>
        <v>616.12903225806451</v>
      </c>
      <c r="K82" s="72">
        <v>19100</v>
      </c>
      <c r="L82" s="72">
        <f t="shared" si="42"/>
        <v>11460</v>
      </c>
      <c r="M82" s="72">
        <f t="shared" si="43"/>
        <v>5730</v>
      </c>
      <c r="N82" s="72">
        <f t="shared" si="44"/>
        <v>1146</v>
      </c>
      <c r="O82" s="72">
        <f t="shared" si="45"/>
        <v>764</v>
      </c>
      <c r="P82" s="259"/>
      <c r="Q82" s="260">
        <f t="shared" si="46"/>
        <v>19100</v>
      </c>
      <c r="R82" s="260">
        <f t="shared" si="47"/>
        <v>19100</v>
      </c>
      <c r="S82" s="261"/>
      <c r="T82" s="261"/>
      <c r="U82" s="262"/>
      <c r="V82" s="263">
        <f t="shared" si="48"/>
        <v>19100</v>
      </c>
      <c r="W82" s="72"/>
      <c r="X82" s="261">
        <f>IFERROR(VLOOKUP(B82,'Lunch bill'!$B$6:$H$30,7,0),0)</f>
        <v>0</v>
      </c>
      <c r="Y82" s="261">
        <f t="shared" si="39"/>
        <v>573</v>
      </c>
      <c r="Z82" s="261">
        <f>IFERROR(VLOOKUP(B82,'55 Bike '!$B$7:$J$139,9,0),0)</f>
        <v>842</v>
      </c>
      <c r="AA82" s="261"/>
      <c r="AB82" s="73">
        <f t="shared" si="49"/>
        <v>1415</v>
      </c>
      <c r="AC82" s="73">
        <f t="shared" si="50"/>
        <v>17685</v>
      </c>
      <c r="AD82" s="264" t="s">
        <v>23</v>
      </c>
      <c r="AE82" s="256" t="s">
        <v>670</v>
      </c>
      <c r="AF82" s="838"/>
      <c r="AG82" s="205"/>
      <c r="AH82" s="383"/>
      <c r="AI82" s="543"/>
      <c r="AJ82" s="548"/>
      <c r="AK82" s="548"/>
      <c r="AL82" s="198"/>
      <c r="AM82" s="320"/>
      <c r="AP82" s="198"/>
    </row>
    <row r="83" spans="1:42" s="61" customFormat="1" ht="24.95" customHeight="1">
      <c r="A83" s="253">
        <v>42</v>
      </c>
      <c r="B83" s="254" t="s">
        <v>610</v>
      </c>
      <c r="C83" s="255" t="s">
        <v>611</v>
      </c>
      <c r="D83" s="278" t="str">
        <f>VLOOKUP(B83,Attendance!$B$6:$D$385,3,0)</f>
        <v>Mechanic</v>
      </c>
      <c r="E83" s="278" t="s">
        <v>612</v>
      </c>
      <c r="F83" s="523">
        <v>45024</v>
      </c>
      <c r="G83" s="257">
        <f>VLOOKUP(B83,Attendance!$B$6:$G$386,6,0)</f>
        <v>31</v>
      </c>
      <c r="H83" s="258">
        <f>VLOOKUP(B$8:B$380,Attendance!$B$6:$L$386,11,0)</f>
        <v>0</v>
      </c>
      <c r="I83" s="257">
        <f t="shared" si="40"/>
        <v>31</v>
      </c>
      <c r="J83" s="258">
        <f t="shared" si="41"/>
        <v>581.29032258064512</v>
      </c>
      <c r="K83" s="72">
        <v>18020</v>
      </c>
      <c r="L83" s="72">
        <f t="shared" si="42"/>
        <v>10812</v>
      </c>
      <c r="M83" s="72">
        <f t="shared" si="43"/>
        <v>5406</v>
      </c>
      <c r="N83" s="72">
        <f t="shared" si="44"/>
        <v>1081.2</v>
      </c>
      <c r="O83" s="72">
        <f t="shared" si="45"/>
        <v>720.80000000000007</v>
      </c>
      <c r="P83" s="259"/>
      <c r="Q83" s="260">
        <f t="shared" si="46"/>
        <v>18020</v>
      </c>
      <c r="R83" s="260">
        <f t="shared" si="47"/>
        <v>18020</v>
      </c>
      <c r="S83" s="261"/>
      <c r="T83" s="261"/>
      <c r="U83" s="262"/>
      <c r="V83" s="263">
        <f t="shared" si="48"/>
        <v>18020</v>
      </c>
      <c r="W83" s="72"/>
      <c r="X83" s="261">
        <f>IFERROR(VLOOKUP(B83,'Lunch bill'!$B$6:$H$30,7,0),0)</f>
        <v>0</v>
      </c>
      <c r="Y83" s="261">
        <f t="shared" si="39"/>
        <v>541</v>
      </c>
      <c r="Z83" s="261">
        <f>IFERROR(VLOOKUP(B83,'55 Bike '!$B$7:$J$139,9,0),0)</f>
        <v>2000</v>
      </c>
      <c r="AA83" s="261"/>
      <c r="AB83" s="73">
        <f t="shared" si="49"/>
        <v>2541</v>
      </c>
      <c r="AC83" s="73">
        <f t="shared" si="50"/>
        <v>15479</v>
      </c>
      <c r="AD83" s="264" t="s">
        <v>23</v>
      </c>
      <c r="AE83" s="256" t="s">
        <v>712</v>
      </c>
      <c r="AF83" s="838"/>
      <c r="AG83" s="205"/>
      <c r="AH83" s="383"/>
      <c r="AI83" s="543"/>
      <c r="AJ83" s="548"/>
      <c r="AK83" s="548"/>
      <c r="AL83" s="198"/>
      <c r="AM83" s="320"/>
      <c r="AP83" s="198"/>
    </row>
    <row r="84" spans="1:42" s="61" customFormat="1" ht="24.95" customHeight="1">
      <c r="A84" s="253">
        <v>43</v>
      </c>
      <c r="B84" s="254" t="s">
        <v>613</v>
      </c>
      <c r="C84" s="255" t="s">
        <v>614</v>
      </c>
      <c r="D84" s="278" t="str">
        <f>VLOOKUP(B84,Attendance!$B$6:$D$385,3,0)</f>
        <v>Mechanic</v>
      </c>
      <c r="E84" s="278" t="s">
        <v>97</v>
      </c>
      <c r="F84" s="523">
        <v>45024</v>
      </c>
      <c r="G84" s="257">
        <f>VLOOKUP(B84,Attendance!$B$6:$G$386,6,0)</f>
        <v>31</v>
      </c>
      <c r="H84" s="258">
        <f>VLOOKUP(B$8:B$380,Attendance!$B$6:$L$386,11,0)</f>
        <v>7</v>
      </c>
      <c r="I84" s="257">
        <f t="shared" si="40"/>
        <v>24</v>
      </c>
      <c r="J84" s="258">
        <f t="shared" si="41"/>
        <v>598.38709677419354</v>
      </c>
      <c r="K84" s="72">
        <v>18550</v>
      </c>
      <c r="L84" s="72">
        <f t="shared" si="42"/>
        <v>11130</v>
      </c>
      <c r="M84" s="72">
        <f t="shared" si="43"/>
        <v>5565</v>
      </c>
      <c r="N84" s="72">
        <f t="shared" si="44"/>
        <v>1113</v>
      </c>
      <c r="O84" s="72">
        <f t="shared" si="45"/>
        <v>742</v>
      </c>
      <c r="P84" s="259"/>
      <c r="Q84" s="260">
        <f t="shared" si="46"/>
        <v>18550</v>
      </c>
      <c r="R84" s="260">
        <f t="shared" si="47"/>
        <v>14361</v>
      </c>
      <c r="S84" s="261"/>
      <c r="T84" s="261"/>
      <c r="U84" s="262"/>
      <c r="V84" s="263">
        <f t="shared" si="48"/>
        <v>14361</v>
      </c>
      <c r="W84" s="72"/>
      <c r="X84" s="261">
        <f>IFERROR(VLOOKUP(B84,'Lunch bill'!$B$6:$H$30,7,0),0)</f>
        <v>0</v>
      </c>
      <c r="Y84" s="261">
        <f t="shared" si="39"/>
        <v>557</v>
      </c>
      <c r="Z84" s="261">
        <f>IFERROR(VLOOKUP(B84,'55 Bike '!$B$7:$J$139,9,0),0)</f>
        <v>2000</v>
      </c>
      <c r="AA84" s="261"/>
      <c r="AB84" s="73">
        <f t="shared" si="49"/>
        <v>2557</v>
      </c>
      <c r="AC84" s="73">
        <f t="shared" si="50"/>
        <v>11804</v>
      </c>
      <c r="AD84" s="264" t="s">
        <v>23</v>
      </c>
      <c r="AE84" s="256" t="s">
        <v>683</v>
      </c>
      <c r="AF84" s="838"/>
      <c r="AG84" s="205"/>
      <c r="AH84" s="383"/>
      <c r="AI84" s="543"/>
      <c r="AJ84" s="548"/>
      <c r="AK84" s="548"/>
      <c r="AL84" s="198"/>
      <c r="AM84" s="320"/>
      <c r="AP84" s="198"/>
    </row>
    <row r="85" spans="1:42" s="61" customFormat="1" ht="21.75" customHeight="1">
      <c r="A85" s="253">
        <v>44</v>
      </c>
      <c r="B85" s="254" t="s">
        <v>615</v>
      </c>
      <c r="C85" s="255" t="s">
        <v>616</v>
      </c>
      <c r="D85" s="278" t="str">
        <f>VLOOKUP(B85,Attendance!$B$6:$D$385,3,0)</f>
        <v>Mechanic</v>
      </c>
      <c r="E85" s="278" t="s">
        <v>97</v>
      </c>
      <c r="F85" s="523">
        <v>45032</v>
      </c>
      <c r="G85" s="257">
        <f>VLOOKUP(B85,Attendance!$B$6:$G$386,6,0)</f>
        <v>31</v>
      </c>
      <c r="H85" s="258">
        <f>VLOOKUP(B$8:B$380,Attendance!$B$6:$L$386,11,0)</f>
        <v>0</v>
      </c>
      <c r="I85" s="257">
        <f t="shared" si="40"/>
        <v>31</v>
      </c>
      <c r="J85" s="258">
        <f t="shared" si="41"/>
        <v>716.12903225806451</v>
      </c>
      <c r="K85" s="72">
        <v>22200</v>
      </c>
      <c r="L85" s="72">
        <f t="shared" si="42"/>
        <v>13320</v>
      </c>
      <c r="M85" s="72">
        <f t="shared" si="43"/>
        <v>6660</v>
      </c>
      <c r="N85" s="72">
        <f t="shared" si="44"/>
        <v>1332</v>
      </c>
      <c r="O85" s="72">
        <f t="shared" si="45"/>
        <v>888</v>
      </c>
      <c r="P85" s="259"/>
      <c r="Q85" s="260">
        <f t="shared" si="46"/>
        <v>22200</v>
      </c>
      <c r="R85" s="260">
        <f t="shared" si="47"/>
        <v>22200</v>
      </c>
      <c r="S85" s="261"/>
      <c r="T85" s="261"/>
      <c r="U85" s="262"/>
      <c r="V85" s="263">
        <f t="shared" si="48"/>
        <v>22200</v>
      </c>
      <c r="W85" s="72"/>
      <c r="X85" s="261">
        <f>IFERROR(VLOOKUP(B85,'Lunch bill'!$B$6:$H$30,7,0),0)</f>
        <v>0</v>
      </c>
      <c r="Y85" s="261">
        <f t="shared" si="39"/>
        <v>666</v>
      </c>
      <c r="Z85" s="261">
        <f>IFERROR(VLOOKUP(B85,'55 Bike '!$B$7:$J$139,9,0),0)</f>
        <v>2000</v>
      </c>
      <c r="AA85" s="261"/>
      <c r="AB85" s="73">
        <f t="shared" si="49"/>
        <v>2666</v>
      </c>
      <c r="AC85" s="73">
        <f t="shared" si="50"/>
        <v>19534</v>
      </c>
      <c r="AD85" s="264" t="s">
        <v>23</v>
      </c>
      <c r="AE85" s="256" t="s">
        <v>622</v>
      </c>
      <c r="AF85" s="838"/>
      <c r="AG85" s="205"/>
      <c r="AH85" s="383"/>
      <c r="AI85" s="543"/>
      <c r="AJ85" s="548"/>
      <c r="AK85" s="548"/>
      <c r="AL85" s="198"/>
      <c r="AM85" s="320"/>
      <c r="AP85" s="198"/>
    </row>
    <row r="86" spans="1:42" s="61" customFormat="1" ht="24.95" customHeight="1">
      <c r="A86" s="253">
        <v>45</v>
      </c>
      <c r="B86" s="254" t="s">
        <v>617</v>
      </c>
      <c r="C86" s="255" t="s">
        <v>618</v>
      </c>
      <c r="D86" s="278" t="str">
        <f>VLOOKUP(B86,Attendance!$B$6:$D$385,3,0)</f>
        <v>Mechanic</v>
      </c>
      <c r="E86" s="278" t="s">
        <v>97</v>
      </c>
      <c r="F86" s="523">
        <v>45041</v>
      </c>
      <c r="G86" s="257">
        <f>VLOOKUP(B86,Attendance!$B$6:$G$386,6,0)</f>
        <v>31</v>
      </c>
      <c r="H86" s="258">
        <f>VLOOKUP(B$8:B$380,Attendance!$B$6:$L$386,11,0)</f>
        <v>0</v>
      </c>
      <c r="I86" s="257">
        <f t="shared" si="40"/>
        <v>31</v>
      </c>
      <c r="J86" s="258">
        <f t="shared" si="41"/>
        <v>741.93548387096769</v>
      </c>
      <c r="K86" s="72">
        <v>23000</v>
      </c>
      <c r="L86" s="72">
        <f t="shared" si="42"/>
        <v>13800</v>
      </c>
      <c r="M86" s="72">
        <f t="shared" si="43"/>
        <v>6900</v>
      </c>
      <c r="N86" s="72">
        <f t="shared" si="44"/>
        <v>1380</v>
      </c>
      <c r="O86" s="72">
        <f t="shared" si="45"/>
        <v>920</v>
      </c>
      <c r="P86" s="259"/>
      <c r="Q86" s="260">
        <f t="shared" si="46"/>
        <v>23000</v>
      </c>
      <c r="R86" s="260">
        <f t="shared" si="47"/>
        <v>23000</v>
      </c>
      <c r="S86" s="261"/>
      <c r="T86" s="261"/>
      <c r="U86" s="262"/>
      <c r="V86" s="263">
        <f t="shared" si="48"/>
        <v>23000</v>
      </c>
      <c r="W86" s="72"/>
      <c r="X86" s="261">
        <f>IFERROR(VLOOKUP(B86,'Lunch bill'!$B$6:$H$30,7,0),0)</f>
        <v>0</v>
      </c>
      <c r="Y86" s="261">
        <f t="shared" si="39"/>
        <v>690</v>
      </c>
      <c r="Z86" s="261">
        <f>IFERROR(VLOOKUP(B86,'55 Bike '!$B$7:$J$139,9,0),0)</f>
        <v>0</v>
      </c>
      <c r="AA86" s="261"/>
      <c r="AB86" s="73">
        <f t="shared" si="49"/>
        <v>690</v>
      </c>
      <c r="AC86" s="73">
        <f t="shared" si="50"/>
        <v>22310</v>
      </c>
      <c r="AD86" s="264" t="s">
        <v>23</v>
      </c>
      <c r="AE86" s="256" t="s">
        <v>621</v>
      </c>
      <c r="AF86" s="838"/>
      <c r="AG86" s="205"/>
      <c r="AH86" s="383"/>
      <c r="AI86" s="543"/>
      <c r="AJ86" s="548"/>
      <c r="AK86" s="548"/>
      <c r="AL86" s="198"/>
      <c r="AM86" s="320"/>
      <c r="AP86" s="198"/>
    </row>
    <row r="87" spans="1:42" s="61" customFormat="1" ht="24.95" customHeight="1">
      <c r="A87" s="253">
        <v>46</v>
      </c>
      <c r="B87" s="254" t="s">
        <v>650</v>
      </c>
      <c r="C87" s="255" t="s">
        <v>651</v>
      </c>
      <c r="D87" s="278" t="str">
        <f>VLOOKUP(B87,Attendance!$B$6:$D$385,3,0)</f>
        <v>Sr. Mechanic</v>
      </c>
      <c r="E87" s="278" t="s">
        <v>97</v>
      </c>
      <c r="F87" s="523">
        <v>45053</v>
      </c>
      <c r="G87" s="257">
        <f>VLOOKUP(B87,Attendance!$B$6:$G$386,6,0)</f>
        <v>31</v>
      </c>
      <c r="H87" s="258">
        <f>VLOOKUP(B$8:B$380,Attendance!$B$6:$L$386,11,0)</f>
        <v>0</v>
      </c>
      <c r="I87" s="257">
        <f t="shared" si="40"/>
        <v>31</v>
      </c>
      <c r="J87" s="258">
        <f t="shared" si="41"/>
        <v>790.32258064516134</v>
      </c>
      <c r="K87" s="72">
        <v>24500</v>
      </c>
      <c r="L87" s="72">
        <f t="shared" si="42"/>
        <v>14700</v>
      </c>
      <c r="M87" s="72">
        <f t="shared" si="43"/>
        <v>7350</v>
      </c>
      <c r="N87" s="72">
        <f t="shared" si="44"/>
        <v>1470</v>
      </c>
      <c r="O87" s="72">
        <f t="shared" si="45"/>
        <v>980</v>
      </c>
      <c r="P87" s="259"/>
      <c r="Q87" s="260">
        <f t="shared" si="46"/>
        <v>24500</v>
      </c>
      <c r="R87" s="260">
        <f t="shared" si="47"/>
        <v>24500</v>
      </c>
      <c r="S87" s="261"/>
      <c r="T87" s="261"/>
      <c r="U87" s="262"/>
      <c r="V87" s="263">
        <f t="shared" si="48"/>
        <v>24500</v>
      </c>
      <c r="W87" s="72"/>
      <c r="X87" s="261">
        <f>IFERROR(VLOOKUP(B87,'Lunch bill'!$B$6:$H$30,7,0),0)</f>
        <v>0</v>
      </c>
      <c r="Y87" s="261">
        <f t="shared" si="39"/>
        <v>735</v>
      </c>
      <c r="Z87" s="261">
        <f>IFERROR(VLOOKUP(B87,'55 Bike '!$B$7:$J$139,9,0),0)</f>
        <v>2000</v>
      </c>
      <c r="AA87" s="261"/>
      <c r="AB87" s="73">
        <f t="shared" si="49"/>
        <v>2735</v>
      </c>
      <c r="AC87" s="73">
        <f t="shared" si="50"/>
        <v>21765</v>
      </c>
      <c r="AD87" s="264" t="s">
        <v>23</v>
      </c>
      <c r="AE87" s="256" t="s">
        <v>682</v>
      </c>
      <c r="AF87" s="838"/>
      <c r="AG87" s="205"/>
      <c r="AH87" s="383"/>
      <c r="AI87" s="543"/>
      <c r="AJ87" s="548"/>
      <c r="AK87" s="548"/>
      <c r="AL87" s="198"/>
      <c r="AM87" s="320"/>
      <c r="AP87" s="198"/>
    </row>
    <row r="88" spans="1:42" s="61" customFormat="1" ht="24.95" customHeight="1">
      <c r="A88" s="253">
        <v>47</v>
      </c>
      <c r="B88" s="254" t="s">
        <v>652</v>
      </c>
      <c r="C88" s="255" t="s">
        <v>653</v>
      </c>
      <c r="D88" s="278" t="str">
        <f>VLOOKUP(B88,Attendance!$B$6:$D$385,3,0)</f>
        <v>Jr. Mechanic</v>
      </c>
      <c r="E88" s="278" t="s">
        <v>97</v>
      </c>
      <c r="F88" s="523">
        <v>45048</v>
      </c>
      <c r="G88" s="257">
        <f>VLOOKUP(B88,Attendance!$B$6:$G$386,6,0)</f>
        <v>31</v>
      </c>
      <c r="H88" s="258">
        <f>VLOOKUP(B$8:B$380,Attendance!$B$6:$L$386,11,0)</f>
        <v>0</v>
      </c>
      <c r="I88" s="257">
        <f t="shared" si="40"/>
        <v>31</v>
      </c>
      <c r="J88" s="258">
        <f t="shared" si="41"/>
        <v>522.58064516129036</v>
      </c>
      <c r="K88" s="72">
        <v>16200</v>
      </c>
      <c r="L88" s="72">
        <f t="shared" si="42"/>
        <v>9720</v>
      </c>
      <c r="M88" s="72">
        <f t="shared" si="43"/>
        <v>4860</v>
      </c>
      <c r="N88" s="72">
        <f t="shared" si="44"/>
        <v>972</v>
      </c>
      <c r="O88" s="72">
        <f t="shared" si="45"/>
        <v>648</v>
      </c>
      <c r="P88" s="259"/>
      <c r="Q88" s="260">
        <f t="shared" si="46"/>
        <v>16200</v>
      </c>
      <c r="R88" s="260">
        <f t="shared" si="47"/>
        <v>16200</v>
      </c>
      <c r="S88" s="261"/>
      <c r="T88" s="261"/>
      <c r="U88" s="262"/>
      <c r="V88" s="263">
        <f t="shared" si="48"/>
        <v>16200</v>
      </c>
      <c r="W88" s="72"/>
      <c r="X88" s="261">
        <f>IFERROR(VLOOKUP(B88,'Lunch bill'!$B$6:$H$30,7,0),0)</f>
        <v>0</v>
      </c>
      <c r="Y88" s="261">
        <f t="shared" ref="Y88:Y115" si="51">ROUND(IF($AH$4-F88&gt;=360,L88*5%,0),0)</f>
        <v>486</v>
      </c>
      <c r="Z88" s="261">
        <f>IFERROR(VLOOKUP(B88,'55 Bike '!$B$7:$J$139,9,0),0)</f>
        <v>0</v>
      </c>
      <c r="AA88" s="261"/>
      <c r="AB88" s="73">
        <f t="shared" si="49"/>
        <v>486</v>
      </c>
      <c r="AC88" s="73">
        <f t="shared" si="50"/>
        <v>15714</v>
      </c>
      <c r="AD88" s="264" t="s">
        <v>23</v>
      </c>
      <c r="AE88" s="256" t="s">
        <v>681</v>
      </c>
      <c r="AF88" s="838"/>
      <c r="AG88" s="205"/>
      <c r="AH88" s="383"/>
      <c r="AI88" s="543"/>
      <c r="AJ88" s="548"/>
      <c r="AK88" s="548"/>
      <c r="AL88" s="198"/>
      <c r="AM88" s="320"/>
      <c r="AP88" s="198"/>
    </row>
    <row r="89" spans="1:42" s="61" customFormat="1" ht="24.95" customHeight="1">
      <c r="A89" s="253">
        <v>48</v>
      </c>
      <c r="B89" s="254" t="s">
        <v>656</v>
      </c>
      <c r="C89" s="255" t="s">
        <v>685</v>
      </c>
      <c r="D89" s="278" t="str">
        <f>VLOOKUP(B89,Attendance!$B$6:$D$385,3,0)</f>
        <v>Mechanic</v>
      </c>
      <c r="E89" s="278" t="s">
        <v>97</v>
      </c>
      <c r="F89" s="523">
        <v>45054</v>
      </c>
      <c r="G89" s="257">
        <f>VLOOKUP(B89,Attendance!$B$6:$G$386,6,0)</f>
        <v>31</v>
      </c>
      <c r="H89" s="258">
        <f>VLOOKUP(B$8:B$380,Attendance!$B$6:$L$386,11,0)</f>
        <v>0</v>
      </c>
      <c r="I89" s="257">
        <f t="shared" si="40"/>
        <v>31</v>
      </c>
      <c r="J89" s="258">
        <f t="shared" si="41"/>
        <v>683.87096774193549</v>
      </c>
      <c r="K89" s="72">
        <v>21200</v>
      </c>
      <c r="L89" s="72">
        <f t="shared" si="42"/>
        <v>12720</v>
      </c>
      <c r="M89" s="72">
        <f t="shared" si="43"/>
        <v>6360</v>
      </c>
      <c r="N89" s="72">
        <f t="shared" si="44"/>
        <v>1272</v>
      </c>
      <c r="O89" s="72">
        <f t="shared" si="45"/>
        <v>848</v>
      </c>
      <c r="P89" s="259"/>
      <c r="Q89" s="260">
        <f t="shared" si="46"/>
        <v>21200</v>
      </c>
      <c r="R89" s="260">
        <f t="shared" si="47"/>
        <v>21200</v>
      </c>
      <c r="S89" s="261"/>
      <c r="T89" s="261"/>
      <c r="U89" s="262"/>
      <c r="V89" s="263">
        <f t="shared" si="48"/>
        <v>21200</v>
      </c>
      <c r="W89" s="72"/>
      <c r="X89" s="261">
        <f>IFERROR(VLOOKUP(B89,'Lunch bill'!$B$6:$H$30,7,0),0)</f>
        <v>0</v>
      </c>
      <c r="Y89" s="261">
        <f t="shared" si="51"/>
        <v>636</v>
      </c>
      <c r="Z89" s="261">
        <f>IFERROR(VLOOKUP(B89,'55 Bike '!$B$7:$J$139,9,0),0)</f>
        <v>2000</v>
      </c>
      <c r="AA89" s="261"/>
      <c r="AB89" s="73">
        <f t="shared" si="49"/>
        <v>2636</v>
      </c>
      <c r="AC89" s="73">
        <f t="shared" si="50"/>
        <v>18564</v>
      </c>
      <c r="AD89" s="264" t="s">
        <v>23</v>
      </c>
      <c r="AE89" s="256" t="s">
        <v>684</v>
      </c>
      <c r="AF89" s="838"/>
      <c r="AG89" s="205"/>
      <c r="AH89" s="383"/>
      <c r="AI89" s="543"/>
      <c r="AJ89" s="548"/>
      <c r="AK89" s="548"/>
      <c r="AL89" s="198"/>
      <c r="AM89" s="320"/>
      <c r="AP89" s="198"/>
    </row>
    <row r="90" spans="1:42" s="61" customFormat="1" ht="24.95" customHeight="1">
      <c r="A90" s="253">
        <v>49</v>
      </c>
      <c r="B90" s="254" t="s">
        <v>658</v>
      </c>
      <c r="C90" s="255" t="s">
        <v>659</v>
      </c>
      <c r="D90" s="278" t="str">
        <f>VLOOKUP(B90,Attendance!$B$6:$D$385,3,0)</f>
        <v>Trainee Engineer</v>
      </c>
      <c r="E90" s="278" t="s">
        <v>97</v>
      </c>
      <c r="F90" s="523">
        <v>45061</v>
      </c>
      <c r="G90" s="257">
        <f>VLOOKUP(B90,Attendance!$B$6:$G$386,6,0)</f>
        <v>31</v>
      </c>
      <c r="H90" s="258">
        <f>VLOOKUP(B$8:B$380,Attendance!$B$6:$L$386,11,0)</f>
        <v>0</v>
      </c>
      <c r="I90" s="257">
        <f t="shared" si="40"/>
        <v>31</v>
      </c>
      <c r="J90" s="258">
        <f t="shared" si="41"/>
        <v>683.87096774193549</v>
      </c>
      <c r="K90" s="72">
        <v>21200</v>
      </c>
      <c r="L90" s="72">
        <f t="shared" si="42"/>
        <v>12720</v>
      </c>
      <c r="M90" s="72">
        <f t="shared" si="43"/>
        <v>6360</v>
      </c>
      <c r="N90" s="72">
        <f t="shared" si="44"/>
        <v>1272</v>
      </c>
      <c r="O90" s="72">
        <f t="shared" si="45"/>
        <v>848</v>
      </c>
      <c r="P90" s="259"/>
      <c r="Q90" s="260">
        <f t="shared" si="46"/>
        <v>21200</v>
      </c>
      <c r="R90" s="260">
        <f t="shared" si="47"/>
        <v>21200</v>
      </c>
      <c r="S90" s="261"/>
      <c r="T90" s="261"/>
      <c r="U90" s="262"/>
      <c r="V90" s="263">
        <f t="shared" si="48"/>
        <v>21200</v>
      </c>
      <c r="W90" s="72"/>
      <c r="X90" s="261">
        <f>IFERROR(VLOOKUP(B90,'Lunch bill'!$B$6:$H$30,7,0),0)</f>
        <v>0</v>
      </c>
      <c r="Y90" s="261">
        <f t="shared" si="51"/>
        <v>636</v>
      </c>
      <c r="Z90" s="261">
        <f>IFERROR(VLOOKUP(B90,'55 Bike '!$B$7:$J$139,9,0),0)</f>
        <v>0</v>
      </c>
      <c r="AA90" s="261"/>
      <c r="AB90" s="73">
        <f t="shared" si="49"/>
        <v>636</v>
      </c>
      <c r="AC90" s="73">
        <f t="shared" si="50"/>
        <v>20564</v>
      </c>
      <c r="AD90" s="264" t="s">
        <v>23</v>
      </c>
      <c r="AE90" s="256" t="s">
        <v>680</v>
      </c>
      <c r="AF90" s="838"/>
      <c r="AG90" s="205"/>
      <c r="AH90" s="383"/>
      <c r="AI90" s="543"/>
      <c r="AJ90" s="548"/>
      <c r="AK90" s="548"/>
      <c r="AL90" s="198"/>
      <c r="AM90" s="320"/>
      <c r="AP90" s="198"/>
    </row>
    <row r="91" spans="1:42" s="61" customFormat="1" ht="24.95" customHeight="1">
      <c r="A91" s="253">
        <v>50</v>
      </c>
      <c r="B91" s="254" t="s">
        <v>660</v>
      </c>
      <c r="C91" s="255" t="s">
        <v>661</v>
      </c>
      <c r="D91" s="278" t="str">
        <f>VLOOKUP(B91,Attendance!$B$6:$D$385,3,0)</f>
        <v>Trainee Engineer</v>
      </c>
      <c r="E91" s="278" t="s">
        <v>97</v>
      </c>
      <c r="F91" s="523">
        <v>45061</v>
      </c>
      <c r="G91" s="257">
        <f>VLOOKUP(B91,Attendance!$B$6:$G$386,6,0)</f>
        <v>31</v>
      </c>
      <c r="H91" s="258">
        <f>VLOOKUP(B$8:B$380,Attendance!$B$6:$L$386,11,0)</f>
        <v>0</v>
      </c>
      <c r="I91" s="257">
        <f t="shared" si="40"/>
        <v>31</v>
      </c>
      <c r="J91" s="258">
        <f t="shared" si="41"/>
        <v>677.41935483870964</v>
      </c>
      <c r="K91" s="72">
        <v>21000</v>
      </c>
      <c r="L91" s="72">
        <f t="shared" si="42"/>
        <v>12600</v>
      </c>
      <c r="M91" s="72">
        <f t="shared" si="43"/>
        <v>6300</v>
      </c>
      <c r="N91" s="72">
        <f t="shared" si="44"/>
        <v>1260</v>
      </c>
      <c r="O91" s="72">
        <f t="shared" si="45"/>
        <v>840</v>
      </c>
      <c r="P91" s="259"/>
      <c r="Q91" s="260">
        <f t="shared" si="46"/>
        <v>21000</v>
      </c>
      <c r="R91" s="260">
        <f t="shared" si="47"/>
        <v>21000</v>
      </c>
      <c r="S91" s="261"/>
      <c r="T91" s="261"/>
      <c r="U91" s="262"/>
      <c r="V91" s="263">
        <f t="shared" si="48"/>
        <v>21000</v>
      </c>
      <c r="W91" s="72"/>
      <c r="X91" s="261">
        <f>IFERROR(VLOOKUP(B91,'Lunch bill'!$B$6:$H$30,7,0),0)</f>
        <v>0</v>
      </c>
      <c r="Y91" s="261">
        <f t="shared" si="51"/>
        <v>630</v>
      </c>
      <c r="Z91" s="261">
        <f>IFERROR(VLOOKUP(B91,'55 Bike '!$B$7:$J$139,9,0),0)</f>
        <v>0</v>
      </c>
      <c r="AA91" s="261"/>
      <c r="AB91" s="73">
        <f t="shared" si="49"/>
        <v>630</v>
      </c>
      <c r="AC91" s="73">
        <f t="shared" si="50"/>
        <v>20370</v>
      </c>
      <c r="AD91" s="264" t="s">
        <v>23</v>
      </c>
      <c r="AE91" s="256" t="s">
        <v>679</v>
      </c>
      <c r="AF91" s="838"/>
      <c r="AG91" s="205"/>
      <c r="AH91" s="383"/>
      <c r="AI91" s="543"/>
      <c r="AJ91" s="548"/>
      <c r="AK91" s="548"/>
      <c r="AL91" s="198"/>
      <c r="AM91" s="320"/>
      <c r="AP91" s="198"/>
    </row>
    <row r="92" spans="1:42" s="61" customFormat="1" ht="24.95" customHeight="1">
      <c r="A92" s="253">
        <v>51</v>
      </c>
      <c r="B92" s="254" t="s">
        <v>662</v>
      </c>
      <c r="C92" s="255" t="s">
        <v>663</v>
      </c>
      <c r="D92" s="278" t="str">
        <f>VLOOKUP(B92,Attendance!$B$6:$D$385,3,0)</f>
        <v>Trainee Engineer</v>
      </c>
      <c r="E92" s="278" t="s">
        <v>97</v>
      </c>
      <c r="F92" s="523">
        <v>45061</v>
      </c>
      <c r="G92" s="257">
        <f>VLOOKUP(B92,Attendance!$B$6:$G$386,6,0)</f>
        <v>31</v>
      </c>
      <c r="H92" s="258">
        <f>VLOOKUP(B$8:B$380,Attendance!$B$6:$L$386,11,0)</f>
        <v>0</v>
      </c>
      <c r="I92" s="257">
        <f t="shared" si="40"/>
        <v>31</v>
      </c>
      <c r="J92" s="258">
        <f t="shared" si="41"/>
        <v>677.41935483870964</v>
      </c>
      <c r="K92" s="72">
        <v>21000</v>
      </c>
      <c r="L92" s="72">
        <f t="shared" si="42"/>
        <v>12600</v>
      </c>
      <c r="M92" s="72">
        <f t="shared" si="43"/>
        <v>6300</v>
      </c>
      <c r="N92" s="72">
        <f t="shared" si="44"/>
        <v>1260</v>
      </c>
      <c r="O92" s="72">
        <f t="shared" si="45"/>
        <v>840</v>
      </c>
      <c r="P92" s="259"/>
      <c r="Q92" s="260">
        <f t="shared" si="46"/>
        <v>21000</v>
      </c>
      <c r="R92" s="260">
        <f t="shared" si="47"/>
        <v>21000</v>
      </c>
      <c r="S92" s="261"/>
      <c r="T92" s="261"/>
      <c r="U92" s="262"/>
      <c r="V92" s="263">
        <f t="shared" si="48"/>
        <v>21000</v>
      </c>
      <c r="W92" s="72"/>
      <c r="X92" s="261">
        <f>IFERROR(VLOOKUP(B92,'Lunch bill'!$B$6:$H$30,7,0),0)</f>
        <v>0</v>
      </c>
      <c r="Y92" s="261">
        <f t="shared" si="51"/>
        <v>630</v>
      </c>
      <c r="Z92" s="261">
        <f>IFERROR(VLOOKUP(B92,'55 Bike '!$B$7:$J$139,9,0),0)</f>
        <v>2175</v>
      </c>
      <c r="AA92" s="261"/>
      <c r="AB92" s="73">
        <f t="shared" si="49"/>
        <v>2805</v>
      </c>
      <c r="AC92" s="73">
        <f t="shared" si="50"/>
        <v>18195</v>
      </c>
      <c r="AD92" s="264" t="s">
        <v>23</v>
      </c>
      <c r="AE92" s="256" t="s">
        <v>678</v>
      </c>
      <c r="AF92" s="838"/>
      <c r="AG92" s="205"/>
      <c r="AH92" s="383"/>
      <c r="AI92" s="543"/>
      <c r="AJ92" s="548"/>
      <c r="AK92" s="548"/>
      <c r="AL92" s="198"/>
      <c r="AM92" s="320"/>
      <c r="AP92" s="198"/>
    </row>
    <row r="93" spans="1:42" s="61" customFormat="1" ht="24.95" customHeight="1">
      <c r="A93" s="253">
        <v>52</v>
      </c>
      <c r="B93" s="254" t="s">
        <v>637</v>
      </c>
      <c r="C93" s="255" t="s">
        <v>638</v>
      </c>
      <c r="D93" s="278" t="str">
        <f>VLOOKUP(B93,Attendance!$B$6:$D$385,3,0)</f>
        <v>Asst. Mechanic</v>
      </c>
      <c r="E93" s="278" t="s">
        <v>97</v>
      </c>
      <c r="F93" s="523">
        <v>45049</v>
      </c>
      <c r="G93" s="257">
        <f>VLOOKUP(B93,Attendance!$B$6:$G$386,6,0)</f>
        <v>31</v>
      </c>
      <c r="H93" s="258">
        <f>VLOOKUP(B$8:B$380,Attendance!$B$6:$L$386,11,0)</f>
        <v>0</v>
      </c>
      <c r="I93" s="257">
        <f t="shared" si="40"/>
        <v>31</v>
      </c>
      <c r="J93" s="258">
        <f t="shared" si="41"/>
        <v>564.51612903225805</v>
      </c>
      <c r="K93" s="72">
        <v>17500</v>
      </c>
      <c r="L93" s="72">
        <f t="shared" si="42"/>
        <v>10500</v>
      </c>
      <c r="M93" s="72">
        <f t="shared" si="43"/>
        <v>5250</v>
      </c>
      <c r="N93" s="72">
        <f t="shared" si="44"/>
        <v>1050</v>
      </c>
      <c r="O93" s="72">
        <f t="shared" si="45"/>
        <v>700</v>
      </c>
      <c r="P93" s="259"/>
      <c r="Q93" s="260">
        <f t="shared" si="46"/>
        <v>17500</v>
      </c>
      <c r="R93" s="260">
        <f t="shared" si="47"/>
        <v>17500</v>
      </c>
      <c r="S93" s="261"/>
      <c r="T93" s="261"/>
      <c r="U93" s="262"/>
      <c r="V93" s="263">
        <f t="shared" si="48"/>
        <v>17500</v>
      </c>
      <c r="W93" s="72"/>
      <c r="X93" s="261">
        <f>IFERROR(VLOOKUP(B93,'Lunch bill'!$B$6:$H$30,7,0),0)</f>
        <v>0</v>
      </c>
      <c r="Y93" s="261">
        <f t="shared" si="51"/>
        <v>525</v>
      </c>
      <c r="Z93" s="261">
        <f>IFERROR(VLOOKUP(B93,'55 Bike '!$B$7:$J$139,9,0),0)</f>
        <v>2000</v>
      </c>
      <c r="AA93" s="261"/>
      <c r="AB93" s="73">
        <f t="shared" si="49"/>
        <v>2525</v>
      </c>
      <c r="AC93" s="73">
        <f t="shared" si="50"/>
        <v>14975</v>
      </c>
      <c r="AD93" s="264" t="s">
        <v>23</v>
      </c>
      <c r="AE93" s="256" t="s">
        <v>677</v>
      </c>
      <c r="AF93" s="838"/>
      <c r="AG93" s="205"/>
      <c r="AH93" s="383"/>
      <c r="AI93" s="543"/>
      <c r="AJ93" s="548"/>
      <c r="AK93" s="548"/>
      <c r="AL93" s="198"/>
      <c r="AM93" s="320"/>
      <c r="AP93" s="198"/>
    </row>
    <row r="94" spans="1:42" s="61" customFormat="1" ht="24.95" customHeight="1">
      <c r="A94" s="253">
        <v>53</v>
      </c>
      <c r="B94" s="254" t="s">
        <v>696</v>
      </c>
      <c r="C94" s="255" t="s">
        <v>697</v>
      </c>
      <c r="D94" s="278" t="str">
        <f>VLOOKUP(B94,Attendance!$B$6:$D$385,3,0)</f>
        <v>Asst. Mechanic</v>
      </c>
      <c r="E94" s="278" t="s">
        <v>97</v>
      </c>
      <c r="F94" s="523">
        <v>45078</v>
      </c>
      <c r="G94" s="257">
        <f>VLOOKUP(B94,Attendance!$B$6:$G$386,6,0)</f>
        <v>31</v>
      </c>
      <c r="H94" s="258">
        <f>VLOOKUP(B$8:B$380,Attendance!$B$6:$L$386,11,0)</f>
        <v>3</v>
      </c>
      <c r="I94" s="257">
        <f t="shared" si="40"/>
        <v>28</v>
      </c>
      <c r="J94" s="258">
        <f t="shared" si="41"/>
        <v>548.38709677419354</v>
      </c>
      <c r="K94" s="72">
        <v>17000</v>
      </c>
      <c r="L94" s="72">
        <f t="shared" si="42"/>
        <v>10200</v>
      </c>
      <c r="M94" s="72">
        <f t="shared" si="43"/>
        <v>5100</v>
      </c>
      <c r="N94" s="72">
        <f t="shared" si="44"/>
        <v>1020</v>
      </c>
      <c r="O94" s="72">
        <f t="shared" si="45"/>
        <v>680</v>
      </c>
      <c r="P94" s="259"/>
      <c r="Q94" s="260">
        <f t="shared" si="46"/>
        <v>17000</v>
      </c>
      <c r="R94" s="260">
        <f t="shared" si="47"/>
        <v>15355</v>
      </c>
      <c r="S94" s="261"/>
      <c r="T94" s="261"/>
      <c r="U94" s="262"/>
      <c r="V94" s="263">
        <f t="shared" si="48"/>
        <v>15355</v>
      </c>
      <c r="W94" s="72"/>
      <c r="X94" s="261">
        <f>IFERROR(VLOOKUP(B94,'Lunch bill'!$B$6:$H$30,7,0),0)</f>
        <v>0</v>
      </c>
      <c r="Y94" s="261">
        <f t="shared" si="51"/>
        <v>510</v>
      </c>
      <c r="Z94" s="261">
        <f>IFERROR(VLOOKUP(B94,'55 Bike '!$B$7:$J$139,9,0),0)</f>
        <v>2000</v>
      </c>
      <c r="AA94" s="261"/>
      <c r="AB94" s="73">
        <f t="shared" si="49"/>
        <v>2510</v>
      </c>
      <c r="AC94" s="73">
        <f t="shared" si="50"/>
        <v>12845</v>
      </c>
      <c r="AD94" s="264" t="s">
        <v>23</v>
      </c>
      <c r="AE94" s="256" t="s">
        <v>710</v>
      </c>
      <c r="AF94" s="838"/>
      <c r="AG94" s="205"/>
      <c r="AH94" s="383"/>
      <c r="AI94" s="543"/>
      <c r="AJ94" s="548"/>
      <c r="AK94" s="548"/>
      <c r="AL94" s="198"/>
      <c r="AM94" s="320"/>
      <c r="AP94" s="198"/>
    </row>
    <row r="95" spans="1:42" s="61" customFormat="1" ht="24.95" customHeight="1">
      <c r="A95" s="253">
        <v>54</v>
      </c>
      <c r="B95" s="254" t="s">
        <v>860</v>
      </c>
      <c r="C95" s="255" t="s">
        <v>861</v>
      </c>
      <c r="D95" s="278" t="str">
        <f>VLOOKUP(B95,Attendance!$B$6:$D$385,3,0)</f>
        <v>Mechanic</v>
      </c>
      <c r="E95" s="278" t="s">
        <v>97</v>
      </c>
      <c r="F95" s="523">
        <v>45150</v>
      </c>
      <c r="G95" s="257">
        <f>VLOOKUP(B95,Attendance!$B$6:$G$386,6,0)</f>
        <v>31</v>
      </c>
      <c r="H95" s="258">
        <f>VLOOKUP(B$8:B$380,Attendance!$B$6:$L$386,11,0)</f>
        <v>0</v>
      </c>
      <c r="I95" s="257">
        <f t="shared" ref="I95:I122" si="52">G95-H95</f>
        <v>31</v>
      </c>
      <c r="J95" s="258">
        <f t="shared" ref="J95:J122" si="53">Q95/G95</f>
        <v>564.51612903225805</v>
      </c>
      <c r="K95" s="72">
        <v>17500</v>
      </c>
      <c r="L95" s="72">
        <f t="shared" ref="L95:L122" si="54">K95*60%</f>
        <v>10500</v>
      </c>
      <c r="M95" s="72">
        <f t="shared" ref="M95:M122" si="55">K95*30%</f>
        <v>5250</v>
      </c>
      <c r="N95" s="72">
        <f t="shared" ref="N95:N122" si="56">K95*6%</f>
        <v>1050</v>
      </c>
      <c r="O95" s="72">
        <f t="shared" ref="O95:O122" si="57">K95*4%</f>
        <v>700</v>
      </c>
      <c r="P95" s="259"/>
      <c r="Q95" s="260">
        <f t="shared" ref="Q95:Q122" si="58">SUM(L95:P95)</f>
        <v>17500</v>
      </c>
      <c r="R95" s="260">
        <f t="shared" ref="R95:R122" si="59">ROUND(I95*J95,)</f>
        <v>17500</v>
      </c>
      <c r="S95" s="261"/>
      <c r="T95" s="261"/>
      <c r="U95" s="262"/>
      <c r="V95" s="263">
        <f t="shared" ref="V95:V122" si="60">SUM(R95:U95)</f>
        <v>17500</v>
      </c>
      <c r="W95" s="72"/>
      <c r="X95" s="261">
        <f>IFERROR(VLOOKUP(B95,'Lunch bill'!$B$6:$H$30,7,0),0)</f>
        <v>0</v>
      </c>
      <c r="Y95" s="261">
        <f t="shared" si="51"/>
        <v>525</v>
      </c>
      <c r="Z95" s="261">
        <f>IFERROR(VLOOKUP(B95,'55 Bike '!$B$7:$J$139,9,0),0)</f>
        <v>2000</v>
      </c>
      <c r="AA95" s="261"/>
      <c r="AB95" s="73">
        <f t="shared" ref="AB95:AB122" si="61">SUM(W95:AA95)</f>
        <v>2525</v>
      </c>
      <c r="AC95" s="73">
        <f t="shared" ref="AC95:AC122" si="62">ROUND(V95-AB95,0)</f>
        <v>14975</v>
      </c>
      <c r="AD95" s="264" t="s">
        <v>23</v>
      </c>
      <c r="AE95" s="256" t="s">
        <v>871</v>
      </c>
      <c r="AF95" s="838"/>
      <c r="AG95" s="205"/>
      <c r="AH95" s="383"/>
      <c r="AI95" s="543"/>
      <c r="AJ95" s="548"/>
      <c r="AK95" s="548"/>
      <c r="AL95" s="198"/>
      <c r="AM95" s="320"/>
      <c r="AP95" s="198"/>
    </row>
    <row r="96" spans="1:42" s="61" customFormat="1" ht="24.95" customHeight="1">
      <c r="A96" s="253">
        <v>55</v>
      </c>
      <c r="B96" s="254" t="s">
        <v>864</v>
      </c>
      <c r="C96" s="255" t="s">
        <v>865</v>
      </c>
      <c r="D96" s="278" t="str">
        <f>VLOOKUP(B96,Attendance!$B$6:$D$385,3,0)</f>
        <v>Sr. Mechanic</v>
      </c>
      <c r="E96" s="278" t="s">
        <v>97</v>
      </c>
      <c r="F96" s="523">
        <v>45155</v>
      </c>
      <c r="G96" s="257">
        <f>VLOOKUP(B96,Attendance!$B$6:$G$386,6,0)</f>
        <v>31</v>
      </c>
      <c r="H96" s="258">
        <f>VLOOKUP(B$8:B$380,Attendance!$B$6:$L$386,11,0)</f>
        <v>0</v>
      </c>
      <c r="I96" s="257">
        <f t="shared" si="52"/>
        <v>31</v>
      </c>
      <c r="J96" s="258">
        <f t="shared" si="53"/>
        <v>796.77419354838707</v>
      </c>
      <c r="K96" s="72">
        <v>24700</v>
      </c>
      <c r="L96" s="72">
        <f t="shared" si="54"/>
        <v>14820</v>
      </c>
      <c r="M96" s="72">
        <f t="shared" si="55"/>
        <v>7410</v>
      </c>
      <c r="N96" s="72">
        <f t="shared" si="56"/>
        <v>1482</v>
      </c>
      <c r="O96" s="72">
        <f t="shared" si="57"/>
        <v>988</v>
      </c>
      <c r="P96" s="259"/>
      <c r="Q96" s="260">
        <f t="shared" si="58"/>
        <v>24700</v>
      </c>
      <c r="R96" s="260">
        <f t="shared" si="59"/>
        <v>24700</v>
      </c>
      <c r="S96" s="261"/>
      <c r="T96" s="261"/>
      <c r="U96" s="262"/>
      <c r="V96" s="263">
        <f t="shared" si="60"/>
        <v>24700</v>
      </c>
      <c r="W96" s="72"/>
      <c r="X96" s="261">
        <f>IFERROR(VLOOKUP(B96,'Lunch bill'!$B$6:$H$30,7,0),0)</f>
        <v>0</v>
      </c>
      <c r="Y96" s="261">
        <f t="shared" si="51"/>
        <v>741</v>
      </c>
      <c r="Z96" s="261">
        <f>IFERROR(VLOOKUP(B96,'55 Bike '!$B$7:$J$139,9,0),0)</f>
        <v>0</v>
      </c>
      <c r="AA96" s="261"/>
      <c r="AB96" s="73">
        <f t="shared" si="61"/>
        <v>741</v>
      </c>
      <c r="AC96" s="73">
        <f t="shared" si="62"/>
        <v>23959</v>
      </c>
      <c r="AD96" s="264" t="s">
        <v>23</v>
      </c>
      <c r="AE96" s="256" t="s">
        <v>872</v>
      </c>
      <c r="AF96" s="838"/>
      <c r="AG96" s="205"/>
      <c r="AH96" s="383"/>
      <c r="AI96" s="543"/>
      <c r="AJ96" s="548"/>
      <c r="AK96" s="548"/>
      <c r="AL96" s="198"/>
      <c r="AM96" s="320"/>
      <c r="AP96" s="198"/>
    </row>
    <row r="97" spans="1:42" s="61" customFormat="1" ht="24.95" customHeight="1">
      <c r="A97" s="253">
        <v>56</v>
      </c>
      <c r="B97" s="254" t="s">
        <v>866</v>
      </c>
      <c r="C97" s="255" t="s">
        <v>867</v>
      </c>
      <c r="D97" s="278" t="str">
        <f>VLOOKUP(B97,Attendance!$B$6:$D$385,3,0)</f>
        <v>Mechanic</v>
      </c>
      <c r="E97" s="278" t="s">
        <v>97</v>
      </c>
      <c r="F97" s="523">
        <v>45157</v>
      </c>
      <c r="G97" s="257">
        <f>VLOOKUP(B97,Attendance!$B$6:$G$386,6,0)</f>
        <v>31</v>
      </c>
      <c r="H97" s="258">
        <f>VLOOKUP(B$8:B$380,Attendance!$B$6:$L$386,11,0)</f>
        <v>0</v>
      </c>
      <c r="I97" s="257">
        <f t="shared" si="52"/>
        <v>31</v>
      </c>
      <c r="J97" s="258">
        <f t="shared" si="53"/>
        <v>677.41935483870964</v>
      </c>
      <c r="K97" s="72">
        <v>21000</v>
      </c>
      <c r="L97" s="72">
        <f t="shared" si="54"/>
        <v>12600</v>
      </c>
      <c r="M97" s="72">
        <f t="shared" si="55"/>
        <v>6300</v>
      </c>
      <c r="N97" s="72">
        <f t="shared" si="56"/>
        <v>1260</v>
      </c>
      <c r="O97" s="72">
        <f t="shared" si="57"/>
        <v>840</v>
      </c>
      <c r="P97" s="259"/>
      <c r="Q97" s="260">
        <f t="shared" si="58"/>
        <v>21000</v>
      </c>
      <c r="R97" s="260">
        <f t="shared" si="59"/>
        <v>21000</v>
      </c>
      <c r="S97" s="261"/>
      <c r="T97" s="261"/>
      <c r="U97" s="262"/>
      <c r="V97" s="263">
        <f t="shared" si="60"/>
        <v>21000</v>
      </c>
      <c r="W97" s="72"/>
      <c r="X97" s="261">
        <f>IFERROR(VLOOKUP(B97,'Lunch bill'!$B$6:$H$30,7,0),0)</f>
        <v>0</v>
      </c>
      <c r="Y97" s="261">
        <f t="shared" si="51"/>
        <v>630</v>
      </c>
      <c r="Z97" s="261">
        <f>IFERROR(VLOOKUP(B97,'55 Bike '!$B$7:$J$139,9,0),0)</f>
        <v>0</v>
      </c>
      <c r="AA97" s="261"/>
      <c r="AB97" s="73">
        <f t="shared" si="61"/>
        <v>630</v>
      </c>
      <c r="AC97" s="73">
        <f t="shared" si="62"/>
        <v>20370</v>
      </c>
      <c r="AD97" s="264" t="s">
        <v>23</v>
      </c>
      <c r="AE97" s="256" t="s">
        <v>873</v>
      </c>
      <c r="AF97" s="838"/>
      <c r="AG97" s="205"/>
      <c r="AH97" s="383"/>
      <c r="AI97" s="543"/>
      <c r="AJ97" s="548"/>
      <c r="AK97" s="548"/>
      <c r="AL97" s="198"/>
      <c r="AM97" s="320"/>
      <c r="AP97" s="198"/>
    </row>
    <row r="98" spans="1:42" s="61" customFormat="1" ht="24.95" customHeight="1">
      <c r="A98" s="253">
        <v>57</v>
      </c>
      <c r="B98" s="254" t="s">
        <v>868</v>
      </c>
      <c r="C98" s="255" t="s">
        <v>869</v>
      </c>
      <c r="D98" s="278" t="str">
        <f>VLOOKUP(B98,Attendance!$B$6:$D$385,3,0)</f>
        <v>Mechanic</v>
      </c>
      <c r="E98" s="278" t="s">
        <v>97</v>
      </c>
      <c r="F98" s="523">
        <v>45160</v>
      </c>
      <c r="G98" s="257">
        <f>VLOOKUP(B98,Attendance!$B$6:$G$386,6,0)</f>
        <v>31</v>
      </c>
      <c r="H98" s="258">
        <f>VLOOKUP(B$8:B$380,Attendance!$B$6:$L$386,11,0)</f>
        <v>0</v>
      </c>
      <c r="I98" s="257">
        <f t="shared" si="52"/>
        <v>31</v>
      </c>
      <c r="J98" s="258">
        <f t="shared" si="53"/>
        <v>745.16129032258061</v>
      </c>
      <c r="K98" s="72">
        <v>23100</v>
      </c>
      <c r="L98" s="72">
        <f t="shared" si="54"/>
        <v>13860</v>
      </c>
      <c r="M98" s="72">
        <f t="shared" si="55"/>
        <v>6930</v>
      </c>
      <c r="N98" s="72">
        <f t="shared" si="56"/>
        <v>1386</v>
      </c>
      <c r="O98" s="72">
        <f t="shared" si="57"/>
        <v>924</v>
      </c>
      <c r="P98" s="259"/>
      <c r="Q98" s="260">
        <f t="shared" si="58"/>
        <v>23100</v>
      </c>
      <c r="R98" s="260">
        <f t="shared" si="59"/>
        <v>23100</v>
      </c>
      <c r="S98" s="261"/>
      <c r="T98" s="261"/>
      <c r="U98" s="262"/>
      <c r="V98" s="263">
        <f t="shared" si="60"/>
        <v>23100</v>
      </c>
      <c r="W98" s="72"/>
      <c r="X98" s="261">
        <f>IFERROR(VLOOKUP(B98,'Lunch bill'!$B$6:$H$30,7,0),0)</f>
        <v>0</v>
      </c>
      <c r="Y98" s="261">
        <f t="shared" si="51"/>
        <v>693</v>
      </c>
      <c r="Z98" s="261">
        <f>IFERROR(VLOOKUP(B98,'55 Bike '!$B$7:$J$139,9,0),0)</f>
        <v>2000</v>
      </c>
      <c r="AA98" s="261"/>
      <c r="AB98" s="73">
        <f t="shared" si="61"/>
        <v>2693</v>
      </c>
      <c r="AC98" s="73">
        <f t="shared" si="62"/>
        <v>20407</v>
      </c>
      <c r="AD98" s="264" t="s">
        <v>23</v>
      </c>
      <c r="AE98" s="256" t="s">
        <v>945</v>
      </c>
      <c r="AF98" s="838"/>
      <c r="AG98" s="205"/>
      <c r="AH98" s="383"/>
      <c r="AI98" s="543"/>
      <c r="AJ98" s="548"/>
      <c r="AK98" s="548"/>
      <c r="AL98" s="198"/>
      <c r="AM98" s="320"/>
      <c r="AP98" s="198"/>
    </row>
    <row r="99" spans="1:42" s="61" customFormat="1" ht="24.95" customHeight="1">
      <c r="A99" s="253">
        <v>58</v>
      </c>
      <c r="B99" s="254" t="s">
        <v>903</v>
      </c>
      <c r="C99" s="255" t="s">
        <v>904</v>
      </c>
      <c r="D99" s="278" t="str">
        <f>VLOOKUP(B99,Attendance!$B$6:$D$385,3,0)</f>
        <v>Mechanic</v>
      </c>
      <c r="E99" s="278" t="s">
        <v>97</v>
      </c>
      <c r="F99" s="523">
        <v>45181</v>
      </c>
      <c r="G99" s="257">
        <f>VLOOKUP(B99,Attendance!$B$6:$G$386,6,0)</f>
        <v>31</v>
      </c>
      <c r="H99" s="258">
        <f>VLOOKUP(B$8:B$380,Attendance!$B$6:$L$386,11,0)</f>
        <v>0</v>
      </c>
      <c r="I99" s="257">
        <f t="shared" si="52"/>
        <v>31</v>
      </c>
      <c r="J99" s="258">
        <f t="shared" si="53"/>
        <v>709.67741935483866</v>
      </c>
      <c r="K99" s="72">
        <v>22000</v>
      </c>
      <c r="L99" s="72">
        <f t="shared" si="54"/>
        <v>13200</v>
      </c>
      <c r="M99" s="72">
        <f t="shared" si="55"/>
        <v>6600</v>
      </c>
      <c r="N99" s="72">
        <f t="shared" si="56"/>
        <v>1320</v>
      </c>
      <c r="O99" s="72">
        <f t="shared" si="57"/>
        <v>880</v>
      </c>
      <c r="P99" s="259"/>
      <c r="Q99" s="260">
        <f t="shared" si="58"/>
        <v>22000</v>
      </c>
      <c r="R99" s="260">
        <f t="shared" si="59"/>
        <v>22000</v>
      </c>
      <c r="S99" s="261"/>
      <c r="T99" s="261"/>
      <c r="U99" s="262"/>
      <c r="V99" s="263">
        <f t="shared" si="60"/>
        <v>22000</v>
      </c>
      <c r="W99" s="72"/>
      <c r="X99" s="261">
        <f>IFERROR(VLOOKUP(B99,'Lunch bill'!$B$6:$H$30,7,0),0)</f>
        <v>0</v>
      </c>
      <c r="Y99" s="261">
        <f t="shared" si="51"/>
        <v>660</v>
      </c>
      <c r="Z99" s="261">
        <f>IFERROR(VLOOKUP(B99,'55 Bike '!$B$7:$J$139,9,0),0)</f>
        <v>0</v>
      </c>
      <c r="AA99" s="261"/>
      <c r="AB99" s="73">
        <f t="shared" si="61"/>
        <v>660</v>
      </c>
      <c r="AC99" s="73">
        <f t="shared" si="62"/>
        <v>21340</v>
      </c>
      <c r="AD99" s="264" t="s">
        <v>23</v>
      </c>
      <c r="AE99" s="256" t="s">
        <v>946</v>
      </c>
      <c r="AF99" s="838"/>
      <c r="AG99" s="205"/>
      <c r="AH99" s="383"/>
      <c r="AI99" s="543"/>
      <c r="AJ99" s="548"/>
      <c r="AK99" s="548"/>
      <c r="AL99" s="198"/>
      <c r="AM99" s="320"/>
      <c r="AP99" s="198"/>
    </row>
    <row r="100" spans="1:42" s="61" customFormat="1" ht="24.95" customHeight="1">
      <c r="A100" s="253">
        <v>59</v>
      </c>
      <c r="B100" s="254" t="s">
        <v>910</v>
      </c>
      <c r="C100" s="255" t="s">
        <v>911</v>
      </c>
      <c r="D100" s="278" t="str">
        <f>VLOOKUP(B100,Attendance!$B$6:$D$385,3,0)</f>
        <v>Mechanic</v>
      </c>
      <c r="E100" s="278" t="s">
        <v>97</v>
      </c>
      <c r="F100" s="523">
        <v>45183</v>
      </c>
      <c r="G100" s="257">
        <f>VLOOKUP(B100,Attendance!$B$6:$G$386,6,0)</f>
        <v>31</v>
      </c>
      <c r="H100" s="258">
        <f>VLOOKUP(B$8:B$380,Attendance!$B$6:$L$386,11,0)</f>
        <v>0</v>
      </c>
      <c r="I100" s="257">
        <f t="shared" si="52"/>
        <v>31</v>
      </c>
      <c r="J100" s="258">
        <f t="shared" si="53"/>
        <v>693.54838709677415</v>
      </c>
      <c r="K100" s="72">
        <v>21500</v>
      </c>
      <c r="L100" s="72">
        <f t="shared" si="54"/>
        <v>12900</v>
      </c>
      <c r="M100" s="72">
        <f t="shared" si="55"/>
        <v>6450</v>
      </c>
      <c r="N100" s="72">
        <f t="shared" si="56"/>
        <v>1290</v>
      </c>
      <c r="O100" s="72">
        <f t="shared" si="57"/>
        <v>860</v>
      </c>
      <c r="P100" s="259"/>
      <c r="Q100" s="260">
        <f t="shared" si="58"/>
        <v>21500</v>
      </c>
      <c r="R100" s="260">
        <f t="shared" si="59"/>
        <v>21500</v>
      </c>
      <c r="S100" s="261"/>
      <c r="T100" s="261"/>
      <c r="U100" s="262"/>
      <c r="V100" s="263">
        <f t="shared" si="60"/>
        <v>21500</v>
      </c>
      <c r="W100" s="72"/>
      <c r="X100" s="261">
        <f>IFERROR(VLOOKUP(B100,'Lunch bill'!$B$6:$H$30,7,0),0)</f>
        <v>0</v>
      </c>
      <c r="Y100" s="261">
        <f t="shared" si="51"/>
        <v>645</v>
      </c>
      <c r="Z100" s="261">
        <f>IFERROR(VLOOKUP(B100,'55 Bike '!$B$7:$J$139,9,0),0)</f>
        <v>2000</v>
      </c>
      <c r="AA100" s="261"/>
      <c r="AB100" s="73">
        <f t="shared" si="61"/>
        <v>2645</v>
      </c>
      <c r="AC100" s="73">
        <f t="shared" si="62"/>
        <v>18855</v>
      </c>
      <c r="AD100" s="264" t="s">
        <v>23</v>
      </c>
      <c r="AE100" s="256" t="s">
        <v>947</v>
      </c>
      <c r="AF100" s="838"/>
      <c r="AG100" s="205"/>
      <c r="AH100" s="383"/>
      <c r="AI100" s="543"/>
      <c r="AJ100" s="548"/>
      <c r="AK100" s="548"/>
      <c r="AL100" s="198"/>
      <c r="AM100" s="320"/>
      <c r="AP100" s="198"/>
    </row>
    <row r="101" spans="1:42" s="61" customFormat="1" ht="24.95" customHeight="1">
      <c r="A101" s="253">
        <v>60</v>
      </c>
      <c r="B101" s="254" t="s">
        <v>916</v>
      </c>
      <c r="C101" s="255" t="s">
        <v>917</v>
      </c>
      <c r="D101" s="278" t="str">
        <f>VLOOKUP(B101,Attendance!$B$6:$D$385,3,0)</f>
        <v>Mechanic</v>
      </c>
      <c r="E101" s="278" t="s">
        <v>97</v>
      </c>
      <c r="F101" s="523">
        <v>45185</v>
      </c>
      <c r="G101" s="257">
        <f>VLOOKUP(B101,Attendance!$B$6:$G$386,6,0)</f>
        <v>31</v>
      </c>
      <c r="H101" s="258">
        <f>VLOOKUP(B$8:B$380,Attendance!$B$6:$L$386,11,0)</f>
        <v>0</v>
      </c>
      <c r="I101" s="257">
        <f t="shared" si="52"/>
        <v>31</v>
      </c>
      <c r="J101" s="258">
        <f t="shared" si="53"/>
        <v>645.16129032258061</v>
      </c>
      <c r="K101" s="72">
        <v>20000</v>
      </c>
      <c r="L101" s="72">
        <f t="shared" si="54"/>
        <v>12000</v>
      </c>
      <c r="M101" s="72">
        <f t="shared" si="55"/>
        <v>6000</v>
      </c>
      <c r="N101" s="72">
        <f t="shared" si="56"/>
        <v>1200</v>
      </c>
      <c r="O101" s="72">
        <f t="shared" si="57"/>
        <v>800</v>
      </c>
      <c r="P101" s="259"/>
      <c r="Q101" s="260">
        <f t="shared" si="58"/>
        <v>20000</v>
      </c>
      <c r="R101" s="260">
        <f t="shared" si="59"/>
        <v>20000</v>
      </c>
      <c r="S101" s="261"/>
      <c r="T101" s="261"/>
      <c r="U101" s="262"/>
      <c r="V101" s="263">
        <f t="shared" si="60"/>
        <v>20000</v>
      </c>
      <c r="W101" s="72"/>
      <c r="X101" s="261">
        <f>IFERROR(VLOOKUP(B101,'Lunch bill'!$B$6:$H$30,7,0),0)</f>
        <v>0</v>
      </c>
      <c r="Y101" s="261">
        <f t="shared" si="51"/>
        <v>600</v>
      </c>
      <c r="Z101" s="261">
        <f>IFERROR(VLOOKUP(B101,'55 Bike '!$B$7:$J$139,9,0),0)</f>
        <v>0</v>
      </c>
      <c r="AA101" s="261"/>
      <c r="AB101" s="73">
        <f t="shared" si="61"/>
        <v>600</v>
      </c>
      <c r="AC101" s="73">
        <f t="shared" si="62"/>
        <v>19400</v>
      </c>
      <c r="AD101" s="264" t="s">
        <v>23</v>
      </c>
      <c r="AE101" s="256" t="s">
        <v>969</v>
      </c>
      <c r="AF101" s="838"/>
      <c r="AG101" s="205"/>
      <c r="AH101" s="383"/>
      <c r="AI101" s="543"/>
      <c r="AJ101" s="548"/>
      <c r="AK101" s="548"/>
      <c r="AL101" s="198"/>
      <c r="AM101" s="320"/>
      <c r="AP101" s="198"/>
    </row>
    <row r="102" spans="1:42" s="61" customFormat="1" ht="24.95" customHeight="1">
      <c r="A102" s="253">
        <v>61</v>
      </c>
      <c r="B102" s="254" t="s">
        <v>918</v>
      </c>
      <c r="C102" s="255" t="s">
        <v>919</v>
      </c>
      <c r="D102" s="278" t="str">
        <f>VLOOKUP(B102,Attendance!$B$6:$D$385,3,0)</f>
        <v>Mechanic</v>
      </c>
      <c r="E102" s="278" t="s">
        <v>97</v>
      </c>
      <c r="F102" s="523">
        <v>45185</v>
      </c>
      <c r="G102" s="257">
        <f>VLOOKUP(B102,Attendance!$B$6:$G$386,6,0)</f>
        <v>31</v>
      </c>
      <c r="H102" s="258">
        <f>VLOOKUP(B$8:B$380,Attendance!$B$6:$L$386,11,0)</f>
        <v>0</v>
      </c>
      <c r="I102" s="257">
        <f t="shared" si="52"/>
        <v>31</v>
      </c>
      <c r="J102" s="258">
        <f t="shared" si="53"/>
        <v>612.90322580645159</v>
      </c>
      <c r="K102" s="72">
        <v>19000</v>
      </c>
      <c r="L102" s="72">
        <f t="shared" si="54"/>
        <v>11400</v>
      </c>
      <c r="M102" s="72">
        <f t="shared" si="55"/>
        <v>5700</v>
      </c>
      <c r="N102" s="72">
        <f t="shared" si="56"/>
        <v>1140</v>
      </c>
      <c r="O102" s="72">
        <f t="shared" si="57"/>
        <v>760</v>
      </c>
      <c r="P102" s="259"/>
      <c r="Q102" s="260">
        <f t="shared" si="58"/>
        <v>19000</v>
      </c>
      <c r="R102" s="260">
        <f t="shared" si="59"/>
        <v>19000</v>
      </c>
      <c r="S102" s="261"/>
      <c r="T102" s="261"/>
      <c r="U102" s="262"/>
      <c r="V102" s="263">
        <f t="shared" si="60"/>
        <v>19000</v>
      </c>
      <c r="W102" s="72"/>
      <c r="X102" s="261">
        <f>IFERROR(VLOOKUP(B102,'Lunch bill'!$B$6:$H$30,7,0),0)</f>
        <v>0</v>
      </c>
      <c r="Y102" s="261">
        <f t="shared" si="51"/>
        <v>570</v>
      </c>
      <c r="Z102" s="261">
        <f>IFERROR(VLOOKUP(B102,'55 Bike '!$B$7:$J$139,9,0),0)</f>
        <v>2000</v>
      </c>
      <c r="AA102" s="261"/>
      <c r="AB102" s="73">
        <f t="shared" si="61"/>
        <v>2570</v>
      </c>
      <c r="AC102" s="73">
        <f t="shared" si="62"/>
        <v>16430</v>
      </c>
      <c r="AD102" s="264" t="s">
        <v>23</v>
      </c>
      <c r="AE102" s="256" t="s">
        <v>1129</v>
      </c>
      <c r="AF102" s="838"/>
      <c r="AG102" s="205"/>
      <c r="AH102" s="383"/>
      <c r="AI102" s="543"/>
      <c r="AJ102" s="548"/>
      <c r="AK102" s="548"/>
      <c r="AL102" s="198"/>
      <c r="AM102" s="320"/>
      <c r="AP102" s="198"/>
    </row>
    <row r="103" spans="1:42" s="61" customFormat="1" ht="24.95" customHeight="1">
      <c r="A103" s="253">
        <v>62</v>
      </c>
      <c r="B103" s="254" t="s">
        <v>920</v>
      </c>
      <c r="C103" s="255" t="s">
        <v>921</v>
      </c>
      <c r="D103" s="278" t="str">
        <f>VLOOKUP(B103,Attendance!$B$6:$D$385,3,0)</f>
        <v>Mechanic</v>
      </c>
      <c r="E103" s="278" t="s">
        <v>97</v>
      </c>
      <c r="F103" s="523">
        <v>45185</v>
      </c>
      <c r="G103" s="257">
        <f>VLOOKUP(B103,Attendance!$B$6:$G$386,6,0)</f>
        <v>31</v>
      </c>
      <c r="H103" s="258">
        <f>VLOOKUP(B$8:B$380,Attendance!$B$6:$L$386,11,0)</f>
        <v>28</v>
      </c>
      <c r="I103" s="257">
        <f t="shared" si="52"/>
        <v>3</v>
      </c>
      <c r="J103" s="258">
        <f t="shared" si="53"/>
        <v>645.16129032258061</v>
      </c>
      <c r="K103" s="72">
        <v>20000</v>
      </c>
      <c r="L103" s="72">
        <f t="shared" si="54"/>
        <v>12000</v>
      </c>
      <c r="M103" s="72">
        <f t="shared" si="55"/>
        <v>6000</v>
      </c>
      <c r="N103" s="72">
        <f t="shared" si="56"/>
        <v>1200</v>
      </c>
      <c r="O103" s="72">
        <f t="shared" si="57"/>
        <v>800</v>
      </c>
      <c r="P103" s="259"/>
      <c r="Q103" s="260">
        <f t="shared" si="58"/>
        <v>20000</v>
      </c>
      <c r="R103" s="260">
        <f t="shared" si="59"/>
        <v>1935</v>
      </c>
      <c r="S103" s="261"/>
      <c r="T103" s="261"/>
      <c r="U103" s="262"/>
      <c r="V103" s="263">
        <f t="shared" si="60"/>
        <v>1935</v>
      </c>
      <c r="W103" s="72"/>
      <c r="X103" s="261">
        <f>IFERROR(VLOOKUP(B103,'Lunch bill'!$B$6:$H$30,7,0),0)</f>
        <v>0</v>
      </c>
      <c r="Y103" s="261">
        <f t="shared" si="51"/>
        <v>600</v>
      </c>
      <c r="Z103" s="261">
        <f>IFERROR(VLOOKUP(B103,'55 Bike '!$B$7:$J$139,9,0),0)</f>
        <v>842</v>
      </c>
      <c r="AA103" s="261"/>
      <c r="AB103" s="73">
        <f t="shared" si="61"/>
        <v>1442</v>
      </c>
      <c r="AC103" s="73">
        <f t="shared" si="62"/>
        <v>493</v>
      </c>
      <c r="AD103" s="264" t="s">
        <v>25</v>
      </c>
      <c r="AE103" s="256" t="s">
        <v>1876</v>
      </c>
      <c r="AF103" s="838"/>
      <c r="AG103" s="205"/>
      <c r="AH103" s="383"/>
      <c r="AI103" s="543"/>
      <c r="AJ103" s="548"/>
      <c r="AK103" s="548"/>
      <c r="AL103" s="198"/>
      <c r="AM103" s="320"/>
      <c r="AP103" s="198"/>
    </row>
    <row r="104" spans="1:42" s="61" customFormat="1" ht="24.95" customHeight="1">
      <c r="A104" s="253">
        <v>63</v>
      </c>
      <c r="B104" s="254" t="s">
        <v>931</v>
      </c>
      <c r="C104" s="255" t="s">
        <v>932</v>
      </c>
      <c r="D104" s="278" t="str">
        <f>VLOOKUP(B104,Attendance!$B$6:$D$385,3,0)</f>
        <v>Mechanic</v>
      </c>
      <c r="E104" s="278" t="s">
        <v>97</v>
      </c>
      <c r="F104" s="523">
        <v>45197</v>
      </c>
      <c r="G104" s="257">
        <f>VLOOKUP(B104,Attendance!$B$6:$G$386,6,0)</f>
        <v>31</v>
      </c>
      <c r="H104" s="258">
        <f>VLOOKUP(B$8:B$380,Attendance!$B$6:$L$386,11,0)</f>
        <v>0</v>
      </c>
      <c r="I104" s="257">
        <f t="shared" si="52"/>
        <v>31</v>
      </c>
      <c r="J104" s="258">
        <f t="shared" si="53"/>
        <v>580.64516129032256</v>
      </c>
      <c r="K104" s="72">
        <v>18000</v>
      </c>
      <c r="L104" s="72">
        <f t="shared" si="54"/>
        <v>10800</v>
      </c>
      <c r="M104" s="72">
        <f t="shared" si="55"/>
        <v>5400</v>
      </c>
      <c r="N104" s="72">
        <f t="shared" si="56"/>
        <v>1080</v>
      </c>
      <c r="O104" s="72">
        <f t="shared" si="57"/>
        <v>720</v>
      </c>
      <c r="P104" s="259"/>
      <c r="Q104" s="260">
        <f t="shared" si="58"/>
        <v>18000</v>
      </c>
      <c r="R104" s="260">
        <f t="shared" si="59"/>
        <v>18000</v>
      </c>
      <c r="S104" s="261"/>
      <c r="T104" s="261"/>
      <c r="U104" s="262"/>
      <c r="V104" s="263">
        <f t="shared" si="60"/>
        <v>18000</v>
      </c>
      <c r="W104" s="72"/>
      <c r="X104" s="261">
        <f>IFERROR(VLOOKUP(B104,'Lunch bill'!$B$6:$H$30,7,0),0)</f>
        <v>0</v>
      </c>
      <c r="Y104" s="261">
        <f t="shared" si="51"/>
        <v>540</v>
      </c>
      <c r="Z104" s="261">
        <f>IFERROR(VLOOKUP(B104,'55 Bike '!$B$7:$J$139,9,0),0)</f>
        <v>0</v>
      </c>
      <c r="AA104" s="261"/>
      <c r="AB104" s="73">
        <f t="shared" si="61"/>
        <v>540</v>
      </c>
      <c r="AC104" s="73">
        <f t="shared" si="62"/>
        <v>17460</v>
      </c>
      <c r="AD104" s="264" t="s">
        <v>23</v>
      </c>
      <c r="AE104" s="256" t="s">
        <v>948</v>
      </c>
      <c r="AF104" s="838"/>
      <c r="AG104" s="205"/>
      <c r="AH104" s="383"/>
      <c r="AI104" s="543"/>
      <c r="AJ104" s="548"/>
      <c r="AK104" s="548"/>
      <c r="AL104" s="198"/>
      <c r="AM104" s="320"/>
      <c r="AP104" s="198"/>
    </row>
    <row r="105" spans="1:42" s="61" customFormat="1" ht="24.95" customHeight="1">
      <c r="A105" s="253">
        <v>64</v>
      </c>
      <c r="B105" s="254" t="s">
        <v>960</v>
      </c>
      <c r="C105" s="255" t="s">
        <v>961</v>
      </c>
      <c r="D105" s="278" t="str">
        <f>VLOOKUP(B105,Attendance!$B$6:$D$385,3,0)</f>
        <v>Mechanic</v>
      </c>
      <c r="E105" s="278" t="s">
        <v>97</v>
      </c>
      <c r="F105" s="523">
        <v>45216</v>
      </c>
      <c r="G105" s="257">
        <f>VLOOKUP(B105,Attendance!$B$6:$G$386,6,0)</f>
        <v>31</v>
      </c>
      <c r="H105" s="258">
        <f>VLOOKUP(B$8:B$380,Attendance!$B$6:$L$386,11,0)</f>
        <v>0</v>
      </c>
      <c r="I105" s="257">
        <f t="shared" si="52"/>
        <v>31</v>
      </c>
      <c r="J105" s="258">
        <f t="shared" si="53"/>
        <v>580.64516129032256</v>
      </c>
      <c r="K105" s="72">
        <v>18000</v>
      </c>
      <c r="L105" s="72">
        <f t="shared" si="54"/>
        <v>10800</v>
      </c>
      <c r="M105" s="72">
        <f t="shared" si="55"/>
        <v>5400</v>
      </c>
      <c r="N105" s="72">
        <f t="shared" si="56"/>
        <v>1080</v>
      </c>
      <c r="O105" s="72">
        <f t="shared" si="57"/>
        <v>720</v>
      </c>
      <c r="P105" s="259"/>
      <c r="Q105" s="260">
        <f t="shared" si="58"/>
        <v>18000</v>
      </c>
      <c r="R105" s="260">
        <f t="shared" si="59"/>
        <v>18000</v>
      </c>
      <c r="S105" s="261"/>
      <c r="T105" s="261"/>
      <c r="U105" s="262"/>
      <c r="V105" s="263">
        <f t="shared" si="60"/>
        <v>18000</v>
      </c>
      <c r="W105" s="72"/>
      <c r="X105" s="261">
        <f>IFERROR(VLOOKUP(B105,'Lunch bill'!$B$6:$H$30,7,0),0)</f>
        <v>0</v>
      </c>
      <c r="Y105" s="261">
        <f t="shared" si="51"/>
        <v>540</v>
      </c>
      <c r="Z105" s="261">
        <f>IFERROR(VLOOKUP(B105,'55 Bike '!$B$7:$J$139,9,0),0)</f>
        <v>0</v>
      </c>
      <c r="AA105" s="261"/>
      <c r="AB105" s="73">
        <f t="shared" si="61"/>
        <v>540</v>
      </c>
      <c r="AC105" s="73">
        <f t="shared" si="62"/>
        <v>17460</v>
      </c>
      <c r="AD105" s="264" t="s">
        <v>23</v>
      </c>
      <c r="AE105" s="256" t="s">
        <v>1108</v>
      </c>
      <c r="AF105" s="838"/>
      <c r="AG105" s="205"/>
      <c r="AH105" s="383"/>
      <c r="AI105" s="543"/>
      <c r="AJ105" s="548"/>
      <c r="AK105" s="548"/>
      <c r="AL105" s="198"/>
      <c r="AM105" s="320"/>
      <c r="AP105" s="198"/>
    </row>
    <row r="106" spans="1:42" s="61" customFormat="1" ht="24.95" customHeight="1">
      <c r="A106" s="253">
        <v>65</v>
      </c>
      <c r="B106" s="254" t="s">
        <v>962</v>
      </c>
      <c r="C106" s="255" t="s">
        <v>963</v>
      </c>
      <c r="D106" s="278" t="str">
        <f>VLOOKUP(B106,Attendance!$B$6:$D$385,3,0)</f>
        <v>Mechanic</v>
      </c>
      <c r="E106" s="278" t="s">
        <v>97</v>
      </c>
      <c r="F106" s="523">
        <v>45213</v>
      </c>
      <c r="G106" s="257">
        <f>VLOOKUP(B106,Attendance!$B$6:$G$386,6,0)</f>
        <v>31</v>
      </c>
      <c r="H106" s="258">
        <f>VLOOKUP(B$8:B$380,Attendance!$B$6:$L$386,11,0)</f>
        <v>3</v>
      </c>
      <c r="I106" s="257">
        <f t="shared" si="52"/>
        <v>28</v>
      </c>
      <c r="J106" s="258">
        <f t="shared" si="53"/>
        <v>677.41935483870964</v>
      </c>
      <c r="K106" s="72">
        <v>21000</v>
      </c>
      <c r="L106" s="72">
        <f t="shared" si="54"/>
        <v>12600</v>
      </c>
      <c r="M106" s="72">
        <f t="shared" si="55"/>
        <v>6300</v>
      </c>
      <c r="N106" s="72">
        <f t="shared" si="56"/>
        <v>1260</v>
      </c>
      <c r="O106" s="72">
        <f t="shared" si="57"/>
        <v>840</v>
      </c>
      <c r="P106" s="259"/>
      <c r="Q106" s="260">
        <f t="shared" si="58"/>
        <v>21000</v>
      </c>
      <c r="R106" s="260">
        <f t="shared" si="59"/>
        <v>18968</v>
      </c>
      <c r="S106" s="261"/>
      <c r="T106" s="261"/>
      <c r="U106" s="262"/>
      <c r="V106" s="263">
        <f t="shared" si="60"/>
        <v>18968</v>
      </c>
      <c r="W106" s="72"/>
      <c r="X106" s="261">
        <f>IFERROR(VLOOKUP(B106,'Lunch bill'!$B$6:$H$30,7,0),0)</f>
        <v>0</v>
      </c>
      <c r="Y106" s="261">
        <f t="shared" si="51"/>
        <v>630</v>
      </c>
      <c r="Z106" s="261">
        <f>IFERROR(VLOOKUP(B106,'55 Bike '!$B$7:$J$139,9,0),0)</f>
        <v>0</v>
      </c>
      <c r="AA106" s="261"/>
      <c r="AB106" s="73">
        <f t="shared" si="61"/>
        <v>630</v>
      </c>
      <c r="AC106" s="73">
        <f t="shared" si="62"/>
        <v>18338</v>
      </c>
      <c r="AD106" s="264" t="s">
        <v>23</v>
      </c>
      <c r="AE106" s="256" t="s">
        <v>968</v>
      </c>
      <c r="AF106" s="838"/>
      <c r="AG106" s="205"/>
      <c r="AH106" s="383"/>
      <c r="AI106" s="543"/>
      <c r="AJ106" s="548"/>
      <c r="AK106" s="548"/>
      <c r="AL106" s="198"/>
      <c r="AM106" s="320"/>
      <c r="AP106" s="198"/>
    </row>
    <row r="107" spans="1:42" s="61" customFormat="1" ht="24.95" customHeight="1">
      <c r="A107" s="253">
        <v>66</v>
      </c>
      <c r="B107" s="254" t="s">
        <v>964</v>
      </c>
      <c r="C107" s="255" t="s">
        <v>965</v>
      </c>
      <c r="D107" s="278" t="str">
        <f>VLOOKUP(B107,Attendance!$B$6:$D$385,3,0)</f>
        <v>Mechanic</v>
      </c>
      <c r="E107" s="278" t="s">
        <v>97</v>
      </c>
      <c r="F107" s="523">
        <v>45213</v>
      </c>
      <c r="G107" s="257">
        <f>VLOOKUP(B107,Attendance!$B$6:$G$386,6,0)</f>
        <v>31</v>
      </c>
      <c r="H107" s="258">
        <f>VLOOKUP(B$8:B$380,Attendance!$B$6:$L$386,11,0)</f>
        <v>0</v>
      </c>
      <c r="I107" s="257">
        <f t="shared" si="52"/>
        <v>31</v>
      </c>
      <c r="J107" s="258">
        <f t="shared" si="53"/>
        <v>677.41935483870964</v>
      </c>
      <c r="K107" s="72">
        <v>21000</v>
      </c>
      <c r="L107" s="72">
        <f t="shared" si="54"/>
        <v>12600</v>
      </c>
      <c r="M107" s="72">
        <f t="shared" si="55"/>
        <v>6300</v>
      </c>
      <c r="N107" s="72">
        <f t="shared" si="56"/>
        <v>1260</v>
      </c>
      <c r="O107" s="72">
        <f t="shared" si="57"/>
        <v>840</v>
      </c>
      <c r="P107" s="259"/>
      <c r="Q107" s="260">
        <f t="shared" si="58"/>
        <v>21000</v>
      </c>
      <c r="R107" s="260">
        <f t="shared" si="59"/>
        <v>21000</v>
      </c>
      <c r="S107" s="261"/>
      <c r="T107" s="261"/>
      <c r="U107" s="262"/>
      <c r="V107" s="263">
        <f t="shared" si="60"/>
        <v>21000</v>
      </c>
      <c r="W107" s="72"/>
      <c r="X107" s="261">
        <f>IFERROR(VLOOKUP(B107,'Lunch bill'!$B$6:$H$30,7,0),0)</f>
        <v>0</v>
      </c>
      <c r="Y107" s="261">
        <f t="shared" si="51"/>
        <v>630</v>
      </c>
      <c r="Z107" s="261">
        <f>IFERROR(VLOOKUP(B107,'55 Bike '!$B$7:$J$139,9,0),0)</f>
        <v>2000</v>
      </c>
      <c r="AA107" s="261"/>
      <c r="AB107" s="73">
        <f t="shared" si="61"/>
        <v>2630</v>
      </c>
      <c r="AC107" s="73">
        <f t="shared" si="62"/>
        <v>18370</v>
      </c>
      <c r="AD107" s="264" t="s">
        <v>23</v>
      </c>
      <c r="AE107" s="256" t="s">
        <v>1272</v>
      </c>
      <c r="AF107" s="838"/>
      <c r="AG107" s="205"/>
      <c r="AH107" s="383"/>
      <c r="AI107" s="543"/>
      <c r="AJ107" s="548"/>
      <c r="AK107" s="548"/>
      <c r="AL107" s="198"/>
      <c r="AM107" s="320"/>
      <c r="AP107" s="198"/>
    </row>
    <row r="108" spans="1:42" s="61" customFormat="1" ht="24.95" customHeight="1">
      <c r="A108" s="253">
        <v>67</v>
      </c>
      <c r="B108" s="254" t="s">
        <v>1078</v>
      </c>
      <c r="C108" s="255" t="s">
        <v>1079</v>
      </c>
      <c r="D108" s="278" t="str">
        <f>VLOOKUP(B108,Attendance!$B$6:$D$385,3,0)</f>
        <v>Deputy Manager</v>
      </c>
      <c r="E108" s="278" t="s">
        <v>1080</v>
      </c>
      <c r="F108" s="523">
        <v>45241</v>
      </c>
      <c r="G108" s="257">
        <f>VLOOKUP(B108,Attendance!$B$6:$G$386,6,0)</f>
        <v>31</v>
      </c>
      <c r="H108" s="258">
        <f>VLOOKUP(B$8:B$380,Attendance!$B$6:$L$386,11,0)</f>
        <v>0</v>
      </c>
      <c r="I108" s="257">
        <f t="shared" si="52"/>
        <v>31</v>
      </c>
      <c r="J108" s="258">
        <f t="shared" si="53"/>
        <v>2096.7741935483873</v>
      </c>
      <c r="K108" s="72">
        <v>65000</v>
      </c>
      <c r="L108" s="72">
        <f t="shared" si="54"/>
        <v>39000</v>
      </c>
      <c r="M108" s="72">
        <f t="shared" si="55"/>
        <v>19500</v>
      </c>
      <c r="N108" s="72">
        <f t="shared" si="56"/>
        <v>3900</v>
      </c>
      <c r="O108" s="72">
        <f t="shared" si="57"/>
        <v>2600</v>
      </c>
      <c r="P108" s="259"/>
      <c r="Q108" s="260">
        <f t="shared" si="58"/>
        <v>65000</v>
      </c>
      <c r="R108" s="260">
        <f t="shared" si="59"/>
        <v>65000</v>
      </c>
      <c r="S108" s="261"/>
      <c r="T108" s="261"/>
      <c r="U108" s="262"/>
      <c r="V108" s="263">
        <f t="shared" si="60"/>
        <v>65000</v>
      </c>
      <c r="W108" s="72">
        <v>417</v>
      </c>
      <c r="X108" s="261">
        <f>IFERROR(VLOOKUP(B108,'Lunch bill'!$B$6:$H$30,7,0),0)</f>
        <v>0</v>
      </c>
      <c r="Y108" s="261">
        <f t="shared" si="51"/>
        <v>1950</v>
      </c>
      <c r="Z108" s="261">
        <f>IFERROR(VLOOKUP(B108,'55 Bike '!$B$7:$J$139,9,0),0)</f>
        <v>0</v>
      </c>
      <c r="AA108" s="261"/>
      <c r="AB108" s="73">
        <f t="shared" si="61"/>
        <v>2367</v>
      </c>
      <c r="AC108" s="73">
        <f t="shared" si="62"/>
        <v>62633</v>
      </c>
      <c r="AD108" s="264" t="s">
        <v>23</v>
      </c>
      <c r="AE108" s="256" t="s">
        <v>1102</v>
      </c>
      <c r="AF108" s="838"/>
      <c r="AG108" s="205"/>
      <c r="AH108" s="383"/>
      <c r="AI108" s="543"/>
      <c r="AJ108" s="548"/>
      <c r="AK108" s="548"/>
      <c r="AL108" s="198"/>
      <c r="AM108" s="320"/>
      <c r="AP108" s="198"/>
    </row>
    <row r="109" spans="1:42" s="61" customFormat="1" ht="24.95" customHeight="1">
      <c r="A109" s="253">
        <v>68</v>
      </c>
      <c r="B109" s="254" t="s">
        <v>1083</v>
      </c>
      <c r="C109" s="255" t="s">
        <v>1084</v>
      </c>
      <c r="D109" s="278" t="str">
        <f>VLOOKUP(B109,Attendance!$B$6:$D$385,3,0)</f>
        <v>Mechanic</v>
      </c>
      <c r="E109" s="278" t="s">
        <v>97</v>
      </c>
      <c r="F109" s="523">
        <v>45234</v>
      </c>
      <c r="G109" s="257">
        <f>VLOOKUP(B109,Attendance!$B$6:$G$386,6,0)</f>
        <v>31</v>
      </c>
      <c r="H109" s="258">
        <f>VLOOKUP(B$8:B$380,Attendance!$B$6:$L$386,11,0)</f>
        <v>0</v>
      </c>
      <c r="I109" s="257">
        <f t="shared" si="52"/>
        <v>31</v>
      </c>
      <c r="J109" s="258">
        <f t="shared" si="53"/>
        <v>645.16129032258061</v>
      </c>
      <c r="K109" s="72">
        <v>20000</v>
      </c>
      <c r="L109" s="72">
        <f t="shared" si="54"/>
        <v>12000</v>
      </c>
      <c r="M109" s="72">
        <f t="shared" si="55"/>
        <v>6000</v>
      </c>
      <c r="N109" s="72">
        <f t="shared" si="56"/>
        <v>1200</v>
      </c>
      <c r="O109" s="72">
        <f t="shared" si="57"/>
        <v>800</v>
      </c>
      <c r="P109" s="259"/>
      <c r="Q109" s="260">
        <f t="shared" si="58"/>
        <v>20000</v>
      </c>
      <c r="R109" s="260">
        <f t="shared" si="59"/>
        <v>20000</v>
      </c>
      <c r="S109" s="261"/>
      <c r="T109" s="261"/>
      <c r="U109" s="262"/>
      <c r="V109" s="263">
        <f t="shared" si="60"/>
        <v>20000</v>
      </c>
      <c r="W109" s="72"/>
      <c r="X109" s="261">
        <f>IFERROR(VLOOKUP(B109,'Lunch bill'!$B$6:$H$30,7,0),0)</f>
        <v>0</v>
      </c>
      <c r="Y109" s="261">
        <f t="shared" si="51"/>
        <v>600</v>
      </c>
      <c r="Z109" s="261">
        <f>IFERROR(VLOOKUP(B109,'55 Bike '!$B$7:$J$139,9,0),0)</f>
        <v>0</v>
      </c>
      <c r="AA109" s="261"/>
      <c r="AB109" s="73">
        <f t="shared" si="61"/>
        <v>600</v>
      </c>
      <c r="AC109" s="73">
        <f t="shared" si="62"/>
        <v>19400</v>
      </c>
      <c r="AD109" s="264" t="s">
        <v>23</v>
      </c>
      <c r="AE109" s="256" t="s">
        <v>1103</v>
      </c>
      <c r="AF109" s="838"/>
      <c r="AG109" s="205"/>
      <c r="AH109" s="383"/>
      <c r="AI109" s="543"/>
      <c r="AJ109" s="548"/>
      <c r="AK109" s="548"/>
      <c r="AL109" s="198"/>
      <c r="AM109" s="320"/>
      <c r="AP109" s="198"/>
    </row>
    <row r="110" spans="1:42" s="61" customFormat="1" ht="24.95" customHeight="1">
      <c r="A110" s="253">
        <v>69</v>
      </c>
      <c r="B110" s="254" t="s">
        <v>1087</v>
      </c>
      <c r="C110" s="255" t="s">
        <v>1088</v>
      </c>
      <c r="D110" s="278" t="str">
        <f>VLOOKUP(B110,Attendance!$B$6:$D$385,3,0)</f>
        <v>Asst. Mechanic</v>
      </c>
      <c r="E110" s="278" t="s">
        <v>97</v>
      </c>
      <c r="F110" s="523">
        <v>45245</v>
      </c>
      <c r="G110" s="257">
        <f>VLOOKUP(B110,Attendance!$B$6:$G$386,6,0)</f>
        <v>31</v>
      </c>
      <c r="H110" s="258">
        <f>VLOOKUP(B$8:B$380,Attendance!$B$6:$L$386,11,0)</f>
        <v>0</v>
      </c>
      <c r="I110" s="257">
        <f t="shared" si="52"/>
        <v>31</v>
      </c>
      <c r="J110" s="258">
        <f t="shared" si="53"/>
        <v>548.38709677419354</v>
      </c>
      <c r="K110" s="72">
        <v>17000</v>
      </c>
      <c r="L110" s="72">
        <f t="shared" si="54"/>
        <v>10200</v>
      </c>
      <c r="M110" s="72">
        <f t="shared" si="55"/>
        <v>5100</v>
      </c>
      <c r="N110" s="72">
        <f t="shared" si="56"/>
        <v>1020</v>
      </c>
      <c r="O110" s="72">
        <f t="shared" si="57"/>
        <v>680</v>
      </c>
      <c r="P110" s="259"/>
      <c r="Q110" s="260">
        <f t="shared" si="58"/>
        <v>17000</v>
      </c>
      <c r="R110" s="260">
        <f t="shared" si="59"/>
        <v>17000</v>
      </c>
      <c r="S110" s="261"/>
      <c r="T110" s="261"/>
      <c r="U110" s="262"/>
      <c r="V110" s="263">
        <f t="shared" si="60"/>
        <v>17000</v>
      </c>
      <c r="W110" s="72"/>
      <c r="X110" s="261">
        <f>IFERROR(VLOOKUP(B110,'Lunch bill'!$B$6:$H$30,7,0),0)</f>
        <v>0</v>
      </c>
      <c r="Y110" s="261">
        <f t="shared" si="51"/>
        <v>510</v>
      </c>
      <c r="Z110" s="261">
        <f>IFERROR(VLOOKUP(B110,'55 Bike '!$B$7:$J$139,9,0),0)</f>
        <v>0</v>
      </c>
      <c r="AA110" s="261"/>
      <c r="AB110" s="73">
        <f t="shared" si="61"/>
        <v>510</v>
      </c>
      <c r="AC110" s="73">
        <f t="shared" si="62"/>
        <v>16490</v>
      </c>
      <c r="AD110" s="264" t="s">
        <v>23</v>
      </c>
      <c r="AE110" s="256" t="s">
        <v>1127</v>
      </c>
      <c r="AF110" s="838"/>
      <c r="AG110" s="205"/>
      <c r="AH110" s="383"/>
      <c r="AI110" s="543"/>
      <c r="AJ110" s="548"/>
      <c r="AK110" s="548"/>
      <c r="AL110" s="198"/>
      <c r="AM110" s="320"/>
      <c r="AP110" s="198"/>
    </row>
    <row r="111" spans="1:42" s="61" customFormat="1" ht="24.95" customHeight="1">
      <c r="A111" s="253">
        <v>70</v>
      </c>
      <c r="B111" s="254" t="s">
        <v>1089</v>
      </c>
      <c r="C111" s="255" t="s">
        <v>861</v>
      </c>
      <c r="D111" s="278" t="str">
        <f>VLOOKUP(B111,Attendance!$B$6:$D$385,3,0)</f>
        <v>Mechanic</v>
      </c>
      <c r="E111" s="278" t="s">
        <v>97</v>
      </c>
      <c r="F111" s="523">
        <v>45245</v>
      </c>
      <c r="G111" s="257">
        <f>VLOOKUP(B111,Attendance!$B$6:$G$386,6,0)</f>
        <v>31</v>
      </c>
      <c r="H111" s="258">
        <f>VLOOKUP(B$8:B$380,Attendance!$B$6:$L$386,11,0)</f>
        <v>0</v>
      </c>
      <c r="I111" s="257">
        <f t="shared" si="52"/>
        <v>31</v>
      </c>
      <c r="J111" s="258">
        <f t="shared" si="53"/>
        <v>741.93548387096769</v>
      </c>
      <c r="K111" s="72">
        <v>23000</v>
      </c>
      <c r="L111" s="72">
        <f t="shared" si="54"/>
        <v>13800</v>
      </c>
      <c r="M111" s="72">
        <f t="shared" si="55"/>
        <v>6900</v>
      </c>
      <c r="N111" s="72">
        <f t="shared" si="56"/>
        <v>1380</v>
      </c>
      <c r="O111" s="72">
        <f t="shared" si="57"/>
        <v>920</v>
      </c>
      <c r="P111" s="259"/>
      <c r="Q111" s="260">
        <f t="shared" si="58"/>
        <v>23000</v>
      </c>
      <c r="R111" s="260">
        <f t="shared" si="59"/>
        <v>23000</v>
      </c>
      <c r="S111" s="261"/>
      <c r="T111" s="261"/>
      <c r="U111" s="262"/>
      <c r="V111" s="263">
        <f t="shared" si="60"/>
        <v>23000</v>
      </c>
      <c r="W111" s="72"/>
      <c r="X111" s="261">
        <f>IFERROR(VLOOKUP(B111,'Lunch bill'!$B$6:$H$30,7,0),0)</f>
        <v>0</v>
      </c>
      <c r="Y111" s="261">
        <f t="shared" si="51"/>
        <v>690</v>
      </c>
      <c r="Z111" s="261">
        <f>IFERROR(VLOOKUP(B111,'55 Bike '!$B$7:$J$139,9,0),0)</f>
        <v>0</v>
      </c>
      <c r="AA111" s="261"/>
      <c r="AB111" s="73">
        <f t="shared" si="61"/>
        <v>690</v>
      </c>
      <c r="AC111" s="73">
        <f t="shared" si="62"/>
        <v>22310</v>
      </c>
      <c r="AD111" s="264" t="s">
        <v>23</v>
      </c>
      <c r="AE111" s="256" t="s">
        <v>1104</v>
      </c>
      <c r="AF111" s="838"/>
      <c r="AG111" s="205"/>
      <c r="AH111" s="383"/>
      <c r="AI111" s="543"/>
      <c r="AJ111" s="548"/>
      <c r="AK111" s="548"/>
      <c r="AL111" s="198"/>
      <c r="AM111" s="320"/>
      <c r="AP111" s="198"/>
    </row>
    <row r="112" spans="1:42" s="61" customFormat="1" ht="24.95" customHeight="1">
      <c r="A112" s="253">
        <v>71</v>
      </c>
      <c r="B112" s="254" t="s">
        <v>1114</v>
      </c>
      <c r="C112" s="255" t="s">
        <v>898</v>
      </c>
      <c r="D112" s="278" t="str">
        <f>VLOOKUP(B112,Attendance!$B$6:$D$385,3,0)</f>
        <v>Mechanic</v>
      </c>
      <c r="E112" s="278" t="s">
        <v>97</v>
      </c>
      <c r="F112" s="523">
        <v>45262</v>
      </c>
      <c r="G112" s="257">
        <f>VLOOKUP(B112,Attendance!$B$6:$G$386,6,0)</f>
        <v>31</v>
      </c>
      <c r="H112" s="258">
        <f>VLOOKUP(B$8:B$380,Attendance!$B$6:$L$386,11,0)</f>
        <v>0</v>
      </c>
      <c r="I112" s="257">
        <f t="shared" si="52"/>
        <v>31</v>
      </c>
      <c r="J112" s="258">
        <f t="shared" si="53"/>
        <v>645.16129032258061</v>
      </c>
      <c r="K112" s="72">
        <v>20000</v>
      </c>
      <c r="L112" s="72">
        <f t="shared" si="54"/>
        <v>12000</v>
      </c>
      <c r="M112" s="72">
        <f t="shared" si="55"/>
        <v>6000</v>
      </c>
      <c r="N112" s="72">
        <f t="shared" si="56"/>
        <v>1200</v>
      </c>
      <c r="O112" s="72">
        <f t="shared" si="57"/>
        <v>800</v>
      </c>
      <c r="P112" s="259"/>
      <c r="Q112" s="260">
        <f t="shared" si="58"/>
        <v>20000</v>
      </c>
      <c r="R112" s="260">
        <f t="shared" si="59"/>
        <v>20000</v>
      </c>
      <c r="S112" s="261"/>
      <c r="T112" s="261"/>
      <c r="U112" s="262"/>
      <c r="V112" s="263">
        <f t="shared" si="60"/>
        <v>20000</v>
      </c>
      <c r="W112" s="72"/>
      <c r="X112" s="261">
        <f>IFERROR(VLOOKUP(B112,'Lunch bill'!$B$6:$H$30,7,0),0)</f>
        <v>0</v>
      </c>
      <c r="Y112" s="261">
        <f t="shared" si="51"/>
        <v>600</v>
      </c>
      <c r="Z112" s="261">
        <f>IFERROR(VLOOKUP(B112,'55 Bike '!$B$7:$J$139,9,0),0)</f>
        <v>0</v>
      </c>
      <c r="AA112" s="261"/>
      <c r="AB112" s="73">
        <f t="shared" si="61"/>
        <v>600</v>
      </c>
      <c r="AC112" s="73">
        <f t="shared" si="62"/>
        <v>19400</v>
      </c>
      <c r="AD112" s="264" t="s">
        <v>23</v>
      </c>
      <c r="AE112" s="256" t="s">
        <v>1128</v>
      </c>
      <c r="AF112" s="838"/>
      <c r="AG112" s="205"/>
      <c r="AH112" s="383"/>
      <c r="AI112" s="543"/>
      <c r="AJ112" s="548"/>
      <c r="AK112" s="548"/>
      <c r="AL112" s="198"/>
      <c r="AM112" s="320"/>
      <c r="AP112" s="198"/>
    </row>
    <row r="113" spans="1:42" s="61" customFormat="1" ht="24.95" customHeight="1">
      <c r="A113" s="253">
        <v>72</v>
      </c>
      <c r="B113" s="254" t="s">
        <v>1117</v>
      </c>
      <c r="C113" s="255" t="s">
        <v>1118</v>
      </c>
      <c r="D113" s="278" t="str">
        <f>VLOOKUP(B113,Attendance!$B$6:$D$385,3,0)</f>
        <v>Service Supervisor (Sr. Mechanic)</v>
      </c>
      <c r="E113" s="278" t="s">
        <v>97</v>
      </c>
      <c r="F113" s="523">
        <v>45265</v>
      </c>
      <c r="G113" s="257">
        <f>VLOOKUP(B113,Attendance!$B$6:$G$386,6,0)</f>
        <v>31</v>
      </c>
      <c r="H113" s="258">
        <f>VLOOKUP(B$8:B$380,Attendance!$B$6:$L$386,11,0)</f>
        <v>0</v>
      </c>
      <c r="I113" s="257">
        <f t="shared" si="52"/>
        <v>31</v>
      </c>
      <c r="J113" s="258">
        <f t="shared" si="53"/>
        <v>774.19354838709683</v>
      </c>
      <c r="K113" s="72">
        <v>24000</v>
      </c>
      <c r="L113" s="72">
        <f t="shared" si="54"/>
        <v>14400</v>
      </c>
      <c r="M113" s="72">
        <f t="shared" si="55"/>
        <v>7200</v>
      </c>
      <c r="N113" s="72">
        <f t="shared" si="56"/>
        <v>1440</v>
      </c>
      <c r="O113" s="72">
        <f t="shared" si="57"/>
        <v>960</v>
      </c>
      <c r="P113" s="259"/>
      <c r="Q113" s="260">
        <f t="shared" si="58"/>
        <v>24000</v>
      </c>
      <c r="R113" s="260">
        <f t="shared" si="59"/>
        <v>24000</v>
      </c>
      <c r="S113" s="261"/>
      <c r="T113" s="261"/>
      <c r="U113" s="262"/>
      <c r="V113" s="263">
        <f t="shared" si="60"/>
        <v>24000</v>
      </c>
      <c r="W113" s="72"/>
      <c r="X113" s="261">
        <f>IFERROR(VLOOKUP(B113,'Lunch bill'!$B$6:$H$30,7,0),0)</f>
        <v>0</v>
      </c>
      <c r="Y113" s="261">
        <f t="shared" si="51"/>
        <v>720</v>
      </c>
      <c r="Z113" s="261">
        <f>IFERROR(VLOOKUP(B113,'55 Bike '!$B$7:$J$139,9,0),0)</f>
        <v>0</v>
      </c>
      <c r="AA113" s="261"/>
      <c r="AB113" s="73">
        <f t="shared" si="61"/>
        <v>720</v>
      </c>
      <c r="AC113" s="73">
        <f t="shared" si="62"/>
        <v>23280</v>
      </c>
      <c r="AD113" s="264" t="s">
        <v>23</v>
      </c>
      <c r="AE113" s="256" t="s">
        <v>1126</v>
      </c>
      <c r="AF113" s="838"/>
      <c r="AG113" s="205"/>
      <c r="AH113" s="383"/>
      <c r="AI113" s="543"/>
      <c r="AJ113" s="548"/>
      <c r="AK113" s="548"/>
      <c r="AL113" s="198"/>
      <c r="AM113" s="320"/>
      <c r="AP113" s="198"/>
    </row>
    <row r="114" spans="1:42" s="61" customFormat="1" ht="24.95" customHeight="1">
      <c r="A114" s="253">
        <v>73</v>
      </c>
      <c r="B114" s="254" t="s">
        <v>1132</v>
      </c>
      <c r="C114" s="255" t="s">
        <v>1133</v>
      </c>
      <c r="D114" s="278" t="str">
        <f>VLOOKUP(B114,Attendance!$B$6:$D$385,3,0)</f>
        <v>Mechanic</v>
      </c>
      <c r="E114" s="278" t="s">
        <v>97</v>
      </c>
      <c r="F114" s="523">
        <v>45304</v>
      </c>
      <c r="G114" s="257">
        <f>VLOOKUP(B114,Attendance!$B$6:$G$386,6,0)</f>
        <v>31</v>
      </c>
      <c r="H114" s="258">
        <f>VLOOKUP(B$8:B$380,Attendance!$B$6:$L$386,11,0)</f>
        <v>0</v>
      </c>
      <c r="I114" s="257">
        <f t="shared" si="52"/>
        <v>31</v>
      </c>
      <c r="J114" s="258">
        <f t="shared" si="53"/>
        <v>580.64516129032256</v>
      </c>
      <c r="K114" s="72">
        <v>18000</v>
      </c>
      <c r="L114" s="72">
        <f t="shared" si="54"/>
        <v>10800</v>
      </c>
      <c r="M114" s="72">
        <f t="shared" si="55"/>
        <v>5400</v>
      </c>
      <c r="N114" s="72">
        <f t="shared" si="56"/>
        <v>1080</v>
      </c>
      <c r="O114" s="72">
        <f t="shared" si="57"/>
        <v>720</v>
      </c>
      <c r="P114" s="259"/>
      <c r="Q114" s="260">
        <f t="shared" si="58"/>
        <v>18000</v>
      </c>
      <c r="R114" s="260">
        <f t="shared" si="59"/>
        <v>18000</v>
      </c>
      <c r="S114" s="261"/>
      <c r="T114" s="261"/>
      <c r="U114" s="262"/>
      <c r="V114" s="263">
        <f t="shared" si="60"/>
        <v>18000</v>
      </c>
      <c r="W114" s="72"/>
      <c r="X114" s="261">
        <f>IFERROR(VLOOKUP(B114,'Lunch bill'!$B$6:$H$30,7,0),0)</f>
        <v>0</v>
      </c>
      <c r="Y114" s="261">
        <f t="shared" si="51"/>
        <v>0</v>
      </c>
      <c r="Z114" s="261">
        <f>IFERROR(VLOOKUP(B114,'55 Bike '!$B$7:$J$139,9,0),0)</f>
        <v>842</v>
      </c>
      <c r="AA114" s="261"/>
      <c r="AB114" s="73">
        <f t="shared" si="61"/>
        <v>842</v>
      </c>
      <c r="AC114" s="73">
        <f t="shared" si="62"/>
        <v>17158</v>
      </c>
      <c r="AD114" s="264" t="s">
        <v>23</v>
      </c>
      <c r="AE114" s="256" t="s">
        <v>1149</v>
      </c>
      <c r="AF114" s="838"/>
      <c r="AG114" s="205"/>
      <c r="AH114" s="383"/>
      <c r="AI114" s="543"/>
      <c r="AJ114" s="548"/>
      <c r="AK114" s="548"/>
      <c r="AL114" s="198"/>
      <c r="AM114" s="320"/>
      <c r="AP114" s="198"/>
    </row>
    <row r="115" spans="1:42" s="61" customFormat="1" ht="24.95" customHeight="1">
      <c r="A115" s="253">
        <v>74</v>
      </c>
      <c r="B115" s="254" t="s">
        <v>1235</v>
      </c>
      <c r="C115" s="255" t="s">
        <v>1236</v>
      </c>
      <c r="D115" s="278" t="str">
        <f>VLOOKUP(B115,Attendance!$B$6:$D$385,3,0)</f>
        <v>Sr. Service Engineer</v>
      </c>
      <c r="E115" s="278" t="s">
        <v>97</v>
      </c>
      <c r="F115" s="523">
        <v>45370</v>
      </c>
      <c r="G115" s="257">
        <f>VLOOKUP(B115,Attendance!$B$6:$G$386,6,0)</f>
        <v>31</v>
      </c>
      <c r="H115" s="258">
        <f>VLOOKUP(B$8:B$380,Attendance!$B$6:$L$386,11,0)</f>
        <v>0</v>
      </c>
      <c r="I115" s="257">
        <f t="shared" si="52"/>
        <v>31</v>
      </c>
      <c r="J115" s="258">
        <f t="shared" si="53"/>
        <v>903.22580645161293</v>
      </c>
      <c r="K115" s="72">
        <v>28000</v>
      </c>
      <c r="L115" s="72">
        <f t="shared" si="54"/>
        <v>16800</v>
      </c>
      <c r="M115" s="72">
        <f t="shared" si="55"/>
        <v>8400</v>
      </c>
      <c r="N115" s="72">
        <f t="shared" si="56"/>
        <v>1680</v>
      </c>
      <c r="O115" s="72">
        <f t="shared" si="57"/>
        <v>1120</v>
      </c>
      <c r="P115" s="259"/>
      <c r="Q115" s="260">
        <f t="shared" si="58"/>
        <v>28000</v>
      </c>
      <c r="R115" s="260">
        <f t="shared" si="59"/>
        <v>28000</v>
      </c>
      <c r="S115" s="261"/>
      <c r="T115" s="261"/>
      <c r="U115" s="262"/>
      <c r="V115" s="263">
        <f t="shared" si="60"/>
        <v>28000</v>
      </c>
      <c r="W115" s="72"/>
      <c r="X115" s="261">
        <f>IFERROR(VLOOKUP(B115,'Lunch bill'!$B$6:$H$30,7,0),0)</f>
        <v>0</v>
      </c>
      <c r="Y115" s="261">
        <f t="shared" si="51"/>
        <v>0</v>
      </c>
      <c r="Z115" s="261">
        <f>IFERROR(VLOOKUP(B115,'55 Bike '!$B$7:$J$139,9,0),0)</f>
        <v>0</v>
      </c>
      <c r="AA115" s="261"/>
      <c r="AB115" s="73">
        <f t="shared" si="61"/>
        <v>0</v>
      </c>
      <c r="AC115" s="73">
        <f t="shared" si="62"/>
        <v>28000</v>
      </c>
      <c r="AD115" s="264" t="s">
        <v>23</v>
      </c>
      <c r="AE115" s="256" t="s">
        <v>1269</v>
      </c>
      <c r="AF115" s="838"/>
      <c r="AG115" s="205"/>
      <c r="AH115" s="383"/>
      <c r="AI115" s="543"/>
      <c r="AJ115" s="548"/>
      <c r="AK115" s="548"/>
      <c r="AL115" s="198"/>
      <c r="AM115" s="320"/>
      <c r="AP115" s="198"/>
    </row>
    <row r="116" spans="1:42" s="61" customFormat="1" ht="24.95" customHeight="1">
      <c r="A116" s="253">
        <v>75</v>
      </c>
      <c r="B116" s="254" t="s">
        <v>1237</v>
      </c>
      <c r="C116" s="255" t="s">
        <v>1238</v>
      </c>
      <c r="D116" s="278" t="str">
        <f>VLOOKUP(B116,Attendance!$B$6:$D$385,3,0)</f>
        <v>Mechanic</v>
      </c>
      <c r="E116" s="278" t="s">
        <v>97</v>
      </c>
      <c r="F116" s="523">
        <v>45371</v>
      </c>
      <c r="G116" s="257">
        <f>VLOOKUP(B116,Attendance!$B$6:$G$386,6,0)</f>
        <v>31</v>
      </c>
      <c r="H116" s="258">
        <f>VLOOKUP(B$8:B$380,Attendance!$B$6:$L$386,11,0)</f>
        <v>0</v>
      </c>
      <c r="I116" s="257">
        <f t="shared" si="52"/>
        <v>31</v>
      </c>
      <c r="J116" s="258">
        <f t="shared" si="53"/>
        <v>645.16129032258061</v>
      </c>
      <c r="K116" s="72">
        <v>20000</v>
      </c>
      <c r="L116" s="72">
        <f t="shared" si="54"/>
        <v>12000</v>
      </c>
      <c r="M116" s="72">
        <f t="shared" si="55"/>
        <v>6000</v>
      </c>
      <c r="N116" s="72">
        <f t="shared" si="56"/>
        <v>1200</v>
      </c>
      <c r="O116" s="72">
        <f t="shared" si="57"/>
        <v>800</v>
      </c>
      <c r="P116" s="259"/>
      <c r="Q116" s="260">
        <f t="shared" si="58"/>
        <v>20000</v>
      </c>
      <c r="R116" s="260">
        <f t="shared" si="59"/>
        <v>20000</v>
      </c>
      <c r="S116" s="261"/>
      <c r="T116" s="261"/>
      <c r="U116" s="262"/>
      <c r="V116" s="263">
        <f t="shared" si="60"/>
        <v>20000</v>
      </c>
      <c r="W116" s="72"/>
      <c r="X116" s="261">
        <f>IFERROR(VLOOKUP(B116,'Lunch bill'!$B$6:$H$30,7,0),0)</f>
        <v>0</v>
      </c>
      <c r="Y116" s="261">
        <f t="shared" ref="Y116:Y130" si="63">ROUND(IF($AH$4-F116&gt;=360,L116*5%,0),0)</f>
        <v>0</v>
      </c>
      <c r="Z116" s="261">
        <f>IFERROR(VLOOKUP(B116,'55 Bike '!$B$7:$J$139,9,0),0)</f>
        <v>2000</v>
      </c>
      <c r="AA116" s="261"/>
      <c r="AB116" s="73">
        <f t="shared" si="61"/>
        <v>2000</v>
      </c>
      <c r="AC116" s="73">
        <f t="shared" si="62"/>
        <v>18000</v>
      </c>
      <c r="AD116" s="264" t="s">
        <v>23</v>
      </c>
      <c r="AE116" s="256" t="s">
        <v>1330</v>
      </c>
      <c r="AF116" s="838"/>
      <c r="AG116" s="205"/>
      <c r="AH116" s="383"/>
      <c r="AI116" s="543"/>
      <c r="AJ116" s="548"/>
      <c r="AK116" s="549"/>
      <c r="AL116" s="198"/>
      <c r="AM116" s="320"/>
      <c r="AP116" s="198"/>
    </row>
    <row r="117" spans="1:42" s="61" customFormat="1" ht="24.95" customHeight="1">
      <c r="A117" s="253">
        <v>76</v>
      </c>
      <c r="B117" s="254" t="s">
        <v>1241</v>
      </c>
      <c r="C117" s="255" t="s">
        <v>1242</v>
      </c>
      <c r="D117" s="278" t="str">
        <f>VLOOKUP(B117,Attendance!$B$6:$D$385,3,0)</f>
        <v>Mechanic</v>
      </c>
      <c r="E117" s="278" t="s">
        <v>97</v>
      </c>
      <c r="F117" s="523">
        <v>45362</v>
      </c>
      <c r="G117" s="257">
        <f>VLOOKUP(B117,Attendance!$B$6:$G$386,6,0)</f>
        <v>31</v>
      </c>
      <c r="H117" s="258">
        <f>VLOOKUP(B$8:B$380,Attendance!$B$6:$L$386,11,0)</f>
        <v>0</v>
      </c>
      <c r="I117" s="257">
        <f t="shared" si="52"/>
        <v>31</v>
      </c>
      <c r="J117" s="258">
        <f t="shared" si="53"/>
        <v>612.90322580645159</v>
      </c>
      <c r="K117" s="72">
        <v>19000</v>
      </c>
      <c r="L117" s="72">
        <f t="shared" si="54"/>
        <v>11400</v>
      </c>
      <c r="M117" s="72">
        <f t="shared" si="55"/>
        <v>5700</v>
      </c>
      <c r="N117" s="72">
        <f t="shared" si="56"/>
        <v>1140</v>
      </c>
      <c r="O117" s="72">
        <f t="shared" si="57"/>
        <v>760</v>
      </c>
      <c r="P117" s="259"/>
      <c r="Q117" s="260">
        <f t="shared" si="58"/>
        <v>19000</v>
      </c>
      <c r="R117" s="260">
        <f t="shared" si="59"/>
        <v>19000</v>
      </c>
      <c r="S117" s="261"/>
      <c r="T117" s="261"/>
      <c r="U117" s="262"/>
      <c r="V117" s="263">
        <f t="shared" si="60"/>
        <v>19000</v>
      </c>
      <c r="W117" s="72"/>
      <c r="X117" s="261">
        <f>IFERROR(VLOOKUP(B117,'Lunch bill'!$B$6:$H$30,7,0),0)</f>
        <v>0</v>
      </c>
      <c r="Y117" s="261">
        <f t="shared" si="63"/>
        <v>0</v>
      </c>
      <c r="Z117" s="261">
        <f>IFERROR(VLOOKUP(B117,'55 Bike '!$B$7:$J$139,9,0),0)</f>
        <v>0</v>
      </c>
      <c r="AA117" s="261"/>
      <c r="AB117" s="73">
        <f t="shared" si="61"/>
        <v>0</v>
      </c>
      <c r="AC117" s="73">
        <f t="shared" si="62"/>
        <v>19000</v>
      </c>
      <c r="AD117" s="264" t="s">
        <v>23</v>
      </c>
      <c r="AE117" s="256" t="s">
        <v>1278</v>
      </c>
      <c r="AF117" s="838"/>
      <c r="AG117" s="205"/>
      <c r="AH117" s="383"/>
      <c r="AI117" s="543"/>
      <c r="AJ117" s="548"/>
      <c r="AK117" s="549"/>
      <c r="AL117" s="198"/>
      <c r="AM117" s="320"/>
      <c r="AP117" s="198"/>
    </row>
    <row r="118" spans="1:42" s="61" customFormat="1" ht="24.95" customHeight="1">
      <c r="A118" s="253">
        <v>77</v>
      </c>
      <c r="B118" s="254" t="s">
        <v>1245</v>
      </c>
      <c r="C118" s="255" t="s">
        <v>1246</v>
      </c>
      <c r="D118" s="278" t="str">
        <f>VLOOKUP(B118,Attendance!$B$6:$D$385,3,0)</f>
        <v>Service Engineer</v>
      </c>
      <c r="E118" s="278" t="s">
        <v>97</v>
      </c>
      <c r="F118" s="523">
        <v>45378</v>
      </c>
      <c r="G118" s="257">
        <f>VLOOKUP(B118,Attendance!$B$6:$G$386,6,0)</f>
        <v>31</v>
      </c>
      <c r="H118" s="258">
        <f>VLOOKUP(B$8:B$380,Attendance!$B$6:$L$386,11,0)</f>
        <v>0</v>
      </c>
      <c r="I118" s="257">
        <f t="shared" si="52"/>
        <v>31</v>
      </c>
      <c r="J118" s="258">
        <f t="shared" si="53"/>
        <v>1129.0322580645161</v>
      </c>
      <c r="K118" s="72">
        <v>35000</v>
      </c>
      <c r="L118" s="72">
        <f t="shared" si="54"/>
        <v>21000</v>
      </c>
      <c r="M118" s="72">
        <f t="shared" si="55"/>
        <v>10500</v>
      </c>
      <c r="N118" s="72">
        <f t="shared" si="56"/>
        <v>2100</v>
      </c>
      <c r="O118" s="72">
        <f t="shared" si="57"/>
        <v>1400</v>
      </c>
      <c r="P118" s="259"/>
      <c r="Q118" s="260">
        <f t="shared" si="58"/>
        <v>35000</v>
      </c>
      <c r="R118" s="260">
        <f t="shared" si="59"/>
        <v>35000</v>
      </c>
      <c r="S118" s="261"/>
      <c r="T118" s="261"/>
      <c r="U118" s="262"/>
      <c r="V118" s="263">
        <f t="shared" si="60"/>
        <v>35000</v>
      </c>
      <c r="W118" s="72"/>
      <c r="X118" s="261">
        <f>IFERROR(VLOOKUP(B118,'Lunch bill'!$B$6:$H$30,7,0),0)</f>
        <v>0</v>
      </c>
      <c r="Y118" s="261">
        <f t="shared" si="63"/>
        <v>0</v>
      </c>
      <c r="Z118" s="261">
        <f>IFERROR(VLOOKUP(B118,'55 Bike '!$B$7:$J$139,9,0),0)</f>
        <v>0</v>
      </c>
      <c r="AA118" s="261"/>
      <c r="AB118" s="73">
        <f t="shared" si="61"/>
        <v>0</v>
      </c>
      <c r="AC118" s="73">
        <f t="shared" si="62"/>
        <v>35000</v>
      </c>
      <c r="AD118" s="264" t="s">
        <v>23</v>
      </c>
      <c r="AE118" s="256" t="s">
        <v>1251</v>
      </c>
      <c r="AF118" s="838"/>
      <c r="AG118" s="205"/>
      <c r="AH118" s="383"/>
      <c r="AI118" s="543"/>
      <c r="AJ118" s="548"/>
      <c r="AK118" s="549"/>
      <c r="AL118" s="198"/>
      <c r="AM118" s="320"/>
      <c r="AP118" s="198"/>
    </row>
    <row r="119" spans="1:42" s="61" customFormat="1" ht="24.95" customHeight="1">
      <c r="A119" s="253">
        <v>78</v>
      </c>
      <c r="B119" s="254" t="s">
        <v>1292</v>
      </c>
      <c r="C119" s="255" t="s">
        <v>1293</v>
      </c>
      <c r="D119" s="278" t="str">
        <f>VLOOKUP(B119,Attendance!$B$6:$D$385,3,0)</f>
        <v>Mechanic</v>
      </c>
      <c r="E119" s="278" t="s">
        <v>97</v>
      </c>
      <c r="F119" s="523">
        <v>45397</v>
      </c>
      <c r="G119" s="257">
        <f>VLOOKUP(B119,Attendance!$B$6:$G$386,6,0)</f>
        <v>31</v>
      </c>
      <c r="H119" s="258">
        <f>VLOOKUP(B$8:B$380,Attendance!$B$6:$L$386,11,0)</f>
        <v>0</v>
      </c>
      <c r="I119" s="257">
        <f t="shared" si="52"/>
        <v>31</v>
      </c>
      <c r="J119" s="258">
        <f t="shared" si="53"/>
        <v>580.64516129032256</v>
      </c>
      <c r="K119" s="72">
        <v>18000</v>
      </c>
      <c r="L119" s="72">
        <f t="shared" si="54"/>
        <v>10800</v>
      </c>
      <c r="M119" s="72">
        <f t="shared" si="55"/>
        <v>5400</v>
      </c>
      <c r="N119" s="72">
        <f t="shared" si="56"/>
        <v>1080</v>
      </c>
      <c r="O119" s="72">
        <f t="shared" si="57"/>
        <v>720</v>
      </c>
      <c r="P119" s="259"/>
      <c r="Q119" s="260">
        <f t="shared" si="58"/>
        <v>18000</v>
      </c>
      <c r="R119" s="260">
        <f t="shared" si="59"/>
        <v>18000</v>
      </c>
      <c r="S119" s="261"/>
      <c r="T119" s="261"/>
      <c r="U119" s="262"/>
      <c r="V119" s="263">
        <f t="shared" si="60"/>
        <v>18000</v>
      </c>
      <c r="W119" s="72"/>
      <c r="X119" s="261">
        <f>IFERROR(VLOOKUP(B119,'Lunch bill'!$B$6:$H$30,7,0),0)</f>
        <v>0</v>
      </c>
      <c r="Y119" s="261">
        <f t="shared" si="63"/>
        <v>0</v>
      </c>
      <c r="Z119" s="261">
        <f>IFERROR(VLOOKUP(B119,'55 Bike '!$B$7:$J$139,9,0),0)</f>
        <v>2000</v>
      </c>
      <c r="AA119" s="261"/>
      <c r="AB119" s="73">
        <f t="shared" si="61"/>
        <v>2000</v>
      </c>
      <c r="AC119" s="73">
        <f t="shared" si="62"/>
        <v>16000</v>
      </c>
      <c r="AD119" s="264" t="s">
        <v>23</v>
      </c>
      <c r="AE119" s="563" t="s">
        <v>1336</v>
      </c>
      <c r="AF119" s="838"/>
      <c r="AG119" s="796"/>
      <c r="AH119" s="383"/>
      <c r="AI119" s="543"/>
      <c r="AJ119" s="548"/>
      <c r="AK119" s="549"/>
      <c r="AL119" s="198"/>
      <c r="AM119" s="320"/>
      <c r="AP119" s="198"/>
    </row>
    <row r="120" spans="1:42" s="61" customFormat="1" ht="24.95" customHeight="1">
      <c r="A120" s="253">
        <v>79</v>
      </c>
      <c r="B120" s="254" t="s">
        <v>1294</v>
      </c>
      <c r="C120" s="255" t="s">
        <v>1295</v>
      </c>
      <c r="D120" s="278" t="str">
        <f>VLOOKUP(B120,Attendance!$B$6:$D$385,3,0)</f>
        <v>Mechanic</v>
      </c>
      <c r="E120" s="278" t="s">
        <v>97</v>
      </c>
      <c r="F120" s="523">
        <v>45397</v>
      </c>
      <c r="G120" s="257">
        <f>VLOOKUP(B120,Attendance!$B$6:$G$386,6,0)</f>
        <v>31</v>
      </c>
      <c r="H120" s="258">
        <f>VLOOKUP(B$8:B$380,Attendance!$B$6:$L$386,11,0)</f>
        <v>0</v>
      </c>
      <c r="I120" s="257">
        <f t="shared" si="52"/>
        <v>31</v>
      </c>
      <c r="J120" s="258">
        <f t="shared" si="53"/>
        <v>645.16129032258061</v>
      </c>
      <c r="K120" s="72">
        <v>20000</v>
      </c>
      <c r="L120" s="72">
        <f t="shared" si="54"/>
        <v>12000</v>
      </c>
      <c r="M120" s="72">
        <f t="shared" si="55"/>
        <v>6000</v>
      </c>
      <c r="N120" s="72">
        <f t="shared" si="56"/>
        <v>1200</v>
      </c>
      <c r="O120" s="72">
        <f t="shared" si="57"/>
        <v>800</v>
      </c>
      <c r="P120" s="259"/>
      <c r="Q120" s="260">
        <f t="shared" si="58"/>
        <v>20000</v>
      </c>
      <c r="R120" s="260">
        <f t="shared" si="59"/>
        <v>20000</v>
      </c>
      <c r="S120" s="261"/>
      <c r="T120" s="261"/>
      <c r="U120" s="262"/>
      <c r="V120" s="263">
        <f t="shared" si="60"/>
        <v>20000</v>
      </c>
      <c r="W120" s="72"/>
      <c r="X120" s="261">
        <f>IFERROR(VLOOKUP(B120,'Lunch bill'!$B$6:$H$30,7,0),0)</f>
        <v>0</v>
      </c>
      <c r="Y120" s="261">
        <f t="shared" si="63"/>
        <v>0</v>
      </c>
      <c r="Z120" s="261">
        <f>IFERROR(VLOOKUP(B120,'55 Bike '!$B$7:$J$139,9,0),0)</f>
        <v>0</v>
      </c>
      <c r="AA120" s="261"/>
      <c r="AB120" s="73">
        <f t="shared" si="61"/>
        <v>0</v>
      </c>
      <c r="AC120" s="73">
        <f t="shared" si="62"/>
        <v>20000</v>
      </c>
      <c r="AD120" s="264" t="s">
        <v>23</v>
      </c>
      <c r="AE120" s="563" t="s">
        <v>1337</v>
      </c>
      <c r="AF120" s="838"/>
      <c r="AG120" s="796"/>
      <c r="AH120" s="383"/>
      <c r="AI120" s="543"/>
      <c r="AJ120" s="548"/>
      <c r="AK120" s="549"/>
      <c r="AL120" s="198"/>
      <c r="AM120" s="320"/>
      <c r="AP120" s="198"/>
    </row>
    <row r="121" spans="1:42" s="61" customFormat="1" ht="24.95" customHeight="1">
      <c r="A121" s="253">
        <v>80</v>
      </c>
      <c r="B121" s="254" t="s">
        <v>1315</v>
      </c>
      <c r="C121" s="255" t="s">
        <v>1316</v>
      </c>
      <c r="D121" s="278" t="str">
        <f>VLOOKUP(B121,Attendance!$B$6:$D$385,3,0)</f>
        <v>Sr. Mechanic</v>
      </c>
      <c r="E121" s="278" t="s">
        <v>97</v>
      </c>
      <c r="F121" s="523">
        <v>45397</v>
      </c>
      <c r="G121" s="257">
        <f>VLOOKUP(B121,Attendance!$B$6:$G$386,6,0)</f>
        <v>31</v>
      </c>
      <c r="H121" s="258">
        <f>VLOOKUP(B$8:B$380,Attendance!$B$6:$L$386,11,0)</f>
        <v>0</v>
      </c>
      <c r="I121" s="257">
        <f t="shared" si="52"/>
        <v>31</v>
      </c>
      <c r="J121" s="258">
        <f t="shared" si="53"/>
        <v>709.67741935483866</v>
      </c>
      <c r="K121" s="72">
        <v>22000</v>
      </c>
      <c r="L121" s="72">
        <f t="shared" si="54"/>
        <v>13200</v>
      </c>
      <c r="M121" s="72">
        <f t="shared" si="55"/>
        <v>6600</v>
      </c>
      <c r="N121" s="72">
        <f t="shared" si="56"/>
        <v>1320</v>
      </c>
      <c r="O121" s="72">
        <f t="shared" si="57"/>
        <v>880</v>
      </c>
      <c r="P121" s="259"/>
      <c r="Q121" s="260">
        <f t="shared" si="58"/>
        <v>22000</v>
      </c>
      <c r="R121" s="260">
        <f t="shared" si="59"/>
        <v>22000</v>
      </c>
      <c r="S121" s="261"/>
      <c r="T121" s="261"/>
      <c r="U121" s="262"/>
      <c r="V121" s="263">
        <f t="shared" si="60"/>
        <v>22000</v>
      </c>
      <c r="W121" s="72"/>
      <c r="X121" s="261">
        <f>IFERROR(VLOOKUP(B121,'Lunch bill'!$B$6:$H$30,7,0),0)</f>
        <v>0</v>
      </c>
      <c r="Y121" s="261">
        <f t="shared" si="63"/>
        <v>0</v>
      </c>
      <c r="Z121" s="261">
        <f>IFERROR(VLOOKUP(B121,'55 Bike '!$B$7:$J$139,9,0),0)</f>
        <v>0</v>
      </c>
      <c r="AA121" s="261"/>
      <c r="AB121" s="73">
        <f t="shared" si="61"/>
        <v>0</v>
      </c>
      <c r="AC121" s="73">
        <f t="shared" si="62"/>
        <v>22000</v>
      </c>
      <c r="AD121" s="264" t="s">
        <v>23</v>
      </c>
      <c r="AE121" s="563" t="s">
        <v>1390</v>
      </c>
      <c r="AF121" s="838"/>
      <c r="AG121" s="796"/>
      <c r="AH121" s="383"/>
      <c r="AI121" s="543"/>
      <c r="AJ121" s="548"/>
      <c r="AK121" s="549"/>
      <c r="AL121" s="198"/>
      <c r="AM121" s="320"/>
      <c r="AP121" s="198"/>
    </row>
    <row r="122" spans="1:42" s="61" customFormat="1" ht="24.95" customHeight="1">
      <c r="A122" s="253">
        <v>81</v>
      </c>
      <c r="B122" s="254" t="s">
        <v>1317</v>
      </c>
      <c r="C122" s="255" t="s">
        <v>1318</v>
      </c>
      <c r="D122" s="278" t="str">
        <f>VLOOKUP(B122,Attendance!$B$6:$D$385,3,0)</f>
        <v>Sr. Mechanic</v>
      </c>
      <c r="E122" s="278" t="s">
        <v>97</v>
      </c>
      <c r="F122" s="523">
        <v>45400</v>
      </c>
      <c r="G122" s="257">
        <f>VLOOKUP(B122,Attendance!$B$6:$G$386,6,0)</f>
        <v>31</v>
      </c>
      <c r="H122" s="258">
        <f>VLOOKUP(B$8:B$380,Attendance!$B$6:$L$386,11,0)</f>
        <v>0</v>
      </c>
      <c r="I122" s="257">
        <f t="shared" si="52"/>
        <v>31</v>
      </c>
      <c r="J122" s="258">
        <f t="shared" si="53"/>
        <v>774.19354838709683</v>
      </c>
      <c r="K122" s="72">
        <v>24000</v>
      </c>
      <c r="L122" s="72">
        <f t="shared" si="54"/>
        <v>14400</v>
      </c>
      <c r="M122" s="72">
        <f t="shared" si="55"/>
        <v>7200</v>
      </c>
      <c r="N122" s="72">
        <f t="shared" si="56"/>
        <v>1440</v>
      </c>
      <c r="O122" s="72">
        <f t="shared" si="57"/>
        <v>960</v>
      </c>
      <c r="P122" s="259"/>
      <c r="Q122" s="260">
        <f t="shared" si="58"/>
        <v>24000</v>
      </c>
      <c r="R122" s="260">
        <f t="shared" si="59"/>
        <v>24000</v>
      </c>
      <c r="S122" s="261"/>
      <c r="T122" s="261"/>
      <c r="U122" s="262"/>
      <c r="V122" s="263">
        <f t="shared" si="60"/>
        <v>24000</v>
      </c>
      <c r="W122" s="72"/>
      <c r="X122" s="261">
        <f>IFERROR(VLOOKUP(B122,'Lunch bill'!$B$6:$H$30,7,0),0)</f>
        <v>0</v>
      </c>
      <c r="Y122" s="261">
        <f t="shared" si="63"/>
        <v>0</v>
      </c>
      <c r="Z122" s="261">
        <f>IFERROR(VLOOKUP(B122,'55 Bike '!$B$7:$J$139,9,0),0)</f>
        <v>0</v>
      </c>
      <c r="AA122" s="261"/>
      <c r="AB122" s="73">
        <f t="shared" si="61"/>
        <v>0</v>
      </c>
      <c r="AC122" s="73">
        <f t="shared" si="62"/>
        <v>24000</v>
      </c>
      <c r="AD122" s="264" t="s">
        <v>23</v>
      </c>
      <c r="AE122" s="563" t="s">
        <v>1338</v>
      </c>
      <c r="AF122" s="838"/>
      <c r="AG122" s="796"/>
      <c r="AH122" s="383"/>
      <c r="AI122" s="543"/>
      <c r="AJ122" s="548"/>
      <c r="AK122" s="549"/>
      <c r="AL122" s="198"/>
      <c r="AM122" s="320"/>
      <c r="AP122" s="198"/>
    </row>
    <row r="123" spans="1:42" s="61" customFormat="1" ht="24.95" customHeight="1">
      <c r="A123" s="253">
        <v>82</v>
      </c>
      <c r="B123" s="254" t="s">
        <v>1319</v>
      </c>
      <c r="C123" s="255" t="s">
        <v>1320</v>
      </c>
      <c r="D123" s="278" t="str">
        <f>VLOOKUP(B123,Attendance!$B$6:$D$385,3,0)</f>
        <v>Mechanic</v>
      </c>
      <c r="E123" s="278" t="s">
        <v>97</v>
      </c>
      <c r="F123" s="523">
        <v>45397</v>
      </c>
      <c r="G123" s="257">
        <f>VLOOKUP(B123,Attendance!$B$6:$G$386,6,0)</f>
        <v>31</v>
      </c>
      <c r="H123" s="258">
        <f>VLOOKUP(B$8:B$380,Attendance!$B$6:$L$386,11,0)</f>
        <v>0</v>
      </c>
      <c r="I123" s="257">
        <f t="shared" ref="I123:I130" si="64">G123-H123</f>
        <v>31</v>
      </c>
      <c r="J123" s="258">
        <f t="shared" ref="J123:J131" si="65">Q123/G123</f>
        <v>580.64516129032256</v>
      </c>
      <c r="K123" s="72">
        <v>18000</v>
      </c>
      <c r="L123" s="72">
        <f t="shared" ref="L123:L130" si="66">K123*60%</f>
        <v>10800</v>
      </c>
      <c r="M123" s="72">
        <f t="shared" ref="M123:M130" si="67">K123*30%</f>
        <v>5400</v>
      </c>
      <c r="N123" s="72">
        <f t="shared" ref="N123:N130" si="68">K123*6%</f>
        <v>1080</v>
      </c>
      <c r="O123" s="72">
        <f t="shared" ref="O123:O130" si="69">K123*4%</f>
        <v>720</v>
      </c>
      <c r="P123" s="259"/>
      <c r="Q123" s="260">
        <f t="shared" ref="Q123:Q130" si="70">SUM(L123:P123)</f>
        <v>18000</v>
      </c>
      <c r="R123" s="260">
        <f t="shared" ref="R123:R130" si="71">ROUND(I123*J123,)</f>
        <v>18000</v>
      </c>
      <c r="S123" s="261"/>
      <c r="T123" s="261"/>
      <c r="U123" s="262"/>
      <c r="V123" s="263">
        <f t="shared" ref="V123:V130" si="72">SUM(R123:U123)</f>
        <v>18000</v>
      </c>
      <c r="W123" s="72"/>
      <c r="X123" s="261">
        <f>IFERROR(VLOOKUP(B123,'Lunch bill'!$B$6:$H$30,7,0),0)</f>
        <v>0</v>
      </c>
      <c r="Y123" s="261">
        <f t="shared" si="63"/>
        <v>0</v>
      </c>
      <c r="Z123" s="261">
        <f>IFERROR(VLOOKUP(B123,'55 Bike '!$B$7:$J$139,9,0),0)</f>
        <v>0</v>
      </c>
      <c r="AA123" s="261"/>
      <c r="AB123" s="73">
        <f t="shared" ref="AB123:AB130" si="73">SUM(W123:AA123)</f>
        <v>0</v>
      </c>
      <c r="AC123" s="73">
        <f t="shared" ref="AC123:AC130" si="74">ROUND(V123-AB123,0)</f>
        <v>18000</v>
      </c>
      <c r="AD123" s="264" t="s">
        <v>23</v>
      </c>
      <c r="AE123" s="563" t="s">
        <v>1391</v>
      </c>
      <c r="AF123" s="838"/>
      <c r="AG123" s="796"/>
      <c r="AH123" s="383"/>
      <c r="AI123" s="543"/>
      <c r="AJ123" s="548"/>
      <c r="AK123" s="549"/>
      <c r="AL123" s="198"/>
      <c r="AM123" s="320"/>
      <c r="AP123" s="198"/>
    </row>
    <row r="124" spans="1:42" s="61" customFormat="1" ht="24.95" customHeight="1">
      <c r="A124" s="253">
        <v>83</v>
      </c>
      <c r="B124" s="254" t="s">
        <v>1321</v>
      </c>
      <c r="C124" s="255" t="s">
        <v>1322</v>
      </c>
      <c r="D124" s="278" t="str">
        <f>VLOOKUP(B124,Attendance!$B$6:$D$385,3,0)</f>
        <v>Junior Mechanic</v>
      </c>
      <c r="E124" s="278" t="s">
        <v>97</v>
      </c>
      <c r="F124" s="523">
        <v>45384</v>
      </c>
      <c r="G124" s="257">
        <f>VLOOKUP(B124,Attendance!$B$6:$G$386,6,0)</f>
        <v>31</v>
      </c>
      <c r="H124" s="258">
        <f>VLOOKUP(B$8:B$380,Attendance!$B$6:$L$386,11,0)</f>
        <v>0</v>
      </c>
      <c r="I124" s="257">
        <f t="shared" si="64"/>
        <v>31</v>
      </c>
      <c r="J124" s="258">
        <f t="shared" si="65"/>
        <v>451.61290322580646</v>
      </c>
      <c r="K124" s="72">
        <v>14000</v>
      </c>
      <c r="L124" s="72">
        <f t="shared" si="66"/>
        <v>8400</v>
      </c>
      <c r="M124" s="72">
        <f t="shared" si="67"/>
        <v>4200</v>
      </c>
      <c r="N124" s="72">
        <f t="shared" si="68"/>
        <v>840</v>
      </c>
      <c r="O124" s="72">
        <f t="shared" si="69"/>
        <v>560</v>
      </c>
      <c r="P124" s="259"/>
      <c r="Q124" s="260">
        <f t="shared" si="70"/>
        <v>14000</v>
      </c>
      <c r="R124" s="260">
        <f t="shared" si="71"/>
        <v>14000</v>
      </c>
      <c r="S124" s="261"/>
      <c r="T124" s="261"/>
      <c r="U124" s="262"/>
      <c r="V124" s="263">
        <f t="shared" si="72"/>
        <v>14000</v>
      </c>
      <c r="W124" s="72"/>
      <c r="X124" s="261">
        <f>IFERROR(VLOOKUP(B124,'Lunch bill'!$B$6:$H$30,7,0),0)</f>
        <v>0</v>
      </c>
      <c r="Y124" s="261">
        <f t="shared" si="63"/>
        <v>0</v>
      </c>
      <c r="Z124" s="261">
        <f>IFERROR(VLOOKUP(B124,'55 Bike '!$B$7:$J$139,9,0),0)</f>
        <v>0</v>
      </c>
      <c r="AA124" s="261"/>
      <c r="AB124" s="73">
        <f t="shared" si="73"/>
        <v>0</v>
      </c>
      <c r="AC124" s="73">
        <f t="shared" si="74"/>
        <v>14000</v>
      </c>
      <c r="AD124" s="264" t="s">
        <v>23</v>
      </c>
      <c r="AE124" s="563" t="s">
        <v>1392</v>
      </c>
      <c r="AF124" s="838"/>
      <c r="AG124" s="796"/>
      <c r="AH124" s="383"/>
      <c r="AI124" s="543"/>
      <c r="AJ124" s="548"/>
      <c r="AK124" s="549"/>
      <c r="AL124" s="198"/>
      <c r="AM124" s="320"/>
      <c r="AP124" s="198"/>
    </row>
    <row r="125" spans="1:42" s="61" customFormat="1" ht="24.95" customHeight="1">
      <c r="A125" s="253">
        <v>84</v>
      </c>
      <c r="B125" s="254" t="s">
        <v>1324</v>
      </c>
      <c r="C125" s="255" t="s">
        <v>1325</v>
      </c>
      <c r="D125" s="278" t="str">
        <f>VLOOKUP(B125,Attendance!$B$6:$D$385,3,0)</f>
        <v>Mechanic</v>
      </c>
      <c r="E125" s="278" t="s">
        <v>97</v>
      </c>
      <c r="F125" s="523">
        <v>45398</v>
      </c>
      <c r="G125" s="257">
        <f>VLOOKUP(B125,Attendance!$B$6:$G$386,6,0)</f>
        <v>31</v>
      </c>
      <c r="H125" s="258">
        <f>VLOOKUP(B$8:B$380,Attendance!$B$6:$L$386,11,0)</f>
        <v>0</v>
      </c>
      <c r="I125" s="257">
        <f t="shared" si="64"/>
        <v>31</v>
      </c>
      <c r="J125" s="258">
        <f t="shared" si="65"/>
        <v>580.64516129032256</v>
      </c>
      <c r="K125" s="72">
        <v>18000</v>
      </c>
      <c r="L125" s="72">
        <f t="shared" si="66"/>
        <v>10800</v>
      </c>
      <c r="M125" s="72">
        <f t="shared" si="67"/>
        <v>5400</v>
      </c>
      <c r="N125" s="72">
        <f t="shared" si="68"/>
        <v>1080</v>
      </c>
      <c r="O125" s="72">
        <f t="shared" si="69"/>
        <v>720</v>
      </c>
      <c r="P125" s="259"/>
      <c r="Q125" s="260">
        <f t="shared" si="70"/>
        <v>18000</v>
      </c>
      <c r="R125" s="260">
        <f t="shared" si="71"/>
        <v>18000</v>
      </c>
      <c r="S125" s="261"/>
      <c r="T125" s="261"/>
      <c r="U125" s="262"/>
      <c r="V125" s="263">
        <f t="shared" si="72"/>
        <v>18000</v>
      </c>
      <c r="W125" s="72"/>
      <c r="X125" s="261">
        <f>IFERROR(VLOOKUP(B125,'Lunch bill'!$B$6:$H$30,7,0),0)</f>
        <v>0</v>
      </c>
      <c r="Y125" s="261">
        <f t="shared" si="63"/>
        <v>0</v>
      </c>
      <c r="Z125" s="261">
        <f>IFERROR(VLOOKUP(B125,'55 Bike '!$B$7:$J$139,9,0),0)</f>
        <v>0</v>
      </c>
      <c r="AA125" s="261"/>
      <c r="AB125" s="73">
        <f t="shared" si="73"/>
        <v>0</v>
      </c>
      <c r="AC125" s="73">
        <f t="shared" si="74"/>
        <v>18000</v>
      </c>
      <c r="AD125" s="264" t="s">
        <v>23</v>
      </c>
      <c r="AE125" s="563" t="s">
        <v>1339</v>
      </c>
      <c r="AF125" s="838"/>
      <c r="AG125" s="796"/>
      <c r="AH125" s="383"/>
      <c r="AI125" s="543"/>
      <c r="AJ125" s="548"/>
      <c r="AK125" s="549"/>
      <c r="AL125" s="198"/>
      <c r="AM125" s="320"/>
      <c r="AP125" s="198"/>
    </row>
    <row r="126" spans="1:42" s="61" customFormat="1" ht="24.95" customHeight="1">
      <c r="A126" s="253">
        <v>85</v>
      </c>
      <c r="B126" s="254" t="s">
        <v>1326</v>
      </c>
      <c r="C126" s="255" t="s">
        <v>1327</v>
      </c>
      <c r="D126" s="278" t="str">
        <f>VLOOKUP(B126,Attendance!$B$6:$D$385,3,0)</f>
        <v>Mechanic</v>
      </c>
      <c r="E126" s="278" t="s">
        <v>97</v>
      </c>
      <c r="F126" s="523">
        <v>45388</v>
      </c>
      <c r="G126" s="257">
        <f>VLOOKUP(B126,Attendance!$B$6:$G$386,6,0)</f>
        <v>31</v>
      </c>
      <c r="H126" s="258">
        <f>VLOOKUP(B$8:B$380,Attendance!$B$6:$L$386,11,0)</f>
        <v>0</v>
      </c>
      <c r="I126" s="257">
        <f t="shared" si="64"/>
        <v>31</v>
      </c>
      <c r="J126" s="258">
        <f t="shared" si="65"/>
        <v>629.0322580645161</v>
      </c>
      <c r="K126" s="72">
        <v>19500</v>
      </c>
      <c r="L126" s="72">
        <f t="shared" si="66"/>
        <v>11700</v>
      </c>
      <c r="M126" s="72">
        <f t="shared" si="67"/>
        <v>5850</v>
      </c>
      <c r="N126" s="72">
        <f t="shared" si="68"/>
        <v>1170</v>
      </c>
      <c r="O126" s="72">
        <f t="shared" si="69"/>
        <v>780</v>
      </c>
      <c r="P126" s="259"/>
      <c r="Q126" s="260">
        <f t="shared" si="70"/>
        <v>19500</v>
      </c>
      <c r="R126" s="260">
        <f t="shared" si="71"/>
        <v>19500</v>
      </c>
      <c r="S126" s="261"/>
      <c r="T126" s="261"/>
      <c r="U126" s="262"/>
      <c r="V126" s="263">
        <f t="shared" si="72"/>
        <v>19500</v>
      </c>
      <c r="W126" s="72"/>
      <c r="X126" s="261">
        <f>IFERROR(VLOOKUP(B126,'Lunch bill'!$B$6:$H$30,7,0),0)</f>
        <v>0</v>
      </c>
      <c r="Y126" s="261">
        <f t="shared" si="63"/>
        <v>0</v>
      </c>
      <c r="Z126" s="261">
        <f>IFERROR(VLOOKUP(B126,'55 Bike '!$B$7:$J$139,9,0),0)</f>
        <v>0</v>
      </c>
      <c r="AA126" s="261"/>
      <c r="AB126" s="73">
        <f t="shared" si="73"/>
        <v>0</v>
      </c>
      <c r="AC126" s="73">
        <f t="shared" si="74"/>
        <v>19500</v>
      </c>
      <c r="AD126" s="264" t="s">
        <v>23</v>
      </c>
      <c r="AE126" s="563" t="s">
        <v>1393</v>
      </c>
      <c r="AF126" s="838"/>
      <c r="AG126" s="796"/>
      <c r="AH126" s="383"/>
      <c r="AI126" s="543"/>
      <c r="AJ126" s="548"/>
      <c r="AK126" s="549"/>
      <c r="AL126" s="198"/>
      <c r="AM126" s="320"/>
      <c r="AP126" s="198"/>
    </row>
    <row r="127" spans="1:42" s="61" customFormat="1" ht="24.95" customHeight="1">
      <c r="A127" s="253">
        <v>86</v>
      </c>
      <c r="B127" s="254" t="s">
        <v>1328</v>
      </c>
      <c r="C127" s="255" t="s">
        <v>1329</v>
      </c>
      <c r="D127" s="278" t="str">
        <f>VLOOKUP(B127,Attendance!$B$6:$D$385,3,0)</f>
        <v>Mechanic</v>
      </c>
      <c r="E127" s="278" t="s">
        <v>97</v>
      </c>
      <c r="F127" s="523">
        <v>45402</v>
      </c>
      <c r="G127" s="257">
        <f>VLOOKUP(B127,Attendance!$B$6:$G$386,6,0)</f>
        <v>31</v>
      </c>
      <c r="H127" s="258">
        <f>VLOOKUP(B$8:B$380,Attendance!$B$6:$L$386,11,0)</f>
        <v>0</v>
      </c>
      <c r="I127" s="257">
        <f t="shared" si="64"/>
        <v>31</v>
      </c>
      <c r="J127" s="258">
        <f t="shared" si="65"/>
        <v>580.64516129032256</v>
      </c>
      <c r="K127" s="72">
        <v>18000</v>
      </c>
      <c r="L127" s="72">
        <f t="shared" si="66"/>
        <v>10800</v>
      </c>
      <c r="M127" s="72">
        <f t="shared" si="67"/>
        <v>5400</v>
      </c>
      <c r="N127" s="72">
        <f t="shared" si="68"/>
        <v>1080</v>
      </c>
      <c r="O127" s="72">
        <f t="shared" si="69"/>
        <v>720</v>
      </c>
      <c r="P127" s="259"/>
      <c r="Q127" s="260">
        <f t="shared" si="70"/>
        <v>18000</v>
      </c>
      <c r="R127" s="260">
        <f t="shared" si="71"/>
        <v>18000</v>
      </c>
      <c r="S127" s="261"/>
      <c r="T127" s="261"/>
      <c r="U127" s="262"/>
      <c r="V127" s="263">
        <f t="shared" si="72"/>
        <v>18000</v>
      </c>
      <c r="W127" s="72"/>
      <c r="X127" s="261">
        <f>IFERROR(VLOOKUP(B127,'Lunch bill'!$B$6:$H$30,7,0),0)</f>
        <v>0</v>
      </c>
      <c r="Y127" s="261">
        <f t="shared" si="63"/>
        <v>0</v>
      </c>
      <c r="Z127" s="261">
        <f>IFERROR(VLOOKUP(B127,'55 Bike '!$B$7:$J$139,9,0),0)</f>
        <v>2000</v>
      </c>
      <c r="AA127" s="261"/>
      <c r="AB127" s="73">
        <f t="shared" si="73"/>
        <v>2000</v>
      </c>
      <c r="AC127" s="73">
        <f t="shared" si="74"/>
        <v>16000</v>
      </c>
      <c r="AD127" s="264" t="s">
        <v>23</v>
      </c>
      <c r="AE127" s="563" t="s">
        <v>1394</v>
      </c>
      <c r="AF127" s="838"/>
      <c r="AG127" s="796"/>
      <c r="AH127" s="383"/>
      <c r="AI127" s="543"/>
      <c r="AJ127" s="548"/>
      <c r="AK127" s="549"/>
      <c r="AL127" s="198"/>
      <c r="AM127" s="320"/>
      <c r="AP127" s="198"/>
    </row>
    <row r="128" spans="1:42" s="61" customFormat="1" ht="24.95" customHeight="1">
      <c r="A128" s="253">
        <v>87</v>
      </c>
      <c r="B128" s="254" t="s">
        <v>1458</v>
      </c>
      <c r="C128" s="255" t="s">
        <v>1082</v>
      </c>
      <c r="D128" s="278" t="s">
        <v>1459</v>
      </c>
      <c r="E128" s="278" t="s">
        <v>97</v>
      </c>
      <c r="F128" s="523">
        <v>45474</v>
      </c>
      <c r="G128" s="257">
        <f>VLOOKUP(B128,Attendance!$B$6:$G$386,6,0)</f>
        <v>31</v>
      </c>
      <c r="H128" s="258">
        <f>VLOOKUP(B$8:B$380,Attendance!$B$6:$L$386,11,0)</f>
        <v>0</v>
      </c>
      <c r="I128" s="257">
        <f t="shared" si="64"/>
        <v>31</v>
      </c>
      <c r="J128" s="258">
        <f t="shared" si="65"/>
        <v>612.90322580645159</v>
      </c>
      <c r="K128" s="72">
        <v>19000</v>
      </c>
      <c r="L128" s="72">
        <f t="shared" si="66"/>
        <v>11400</v>
      </c>
      <c r="M128" s="72">
        <f t="shared" si="67"/>
        <v>5700</v>
      </c>
      <c r="N128" s="72">
        <f t="shared" si="68"/>
        <v>1140</v>
      </c>
      <c r="O128" s="72">
        <f t="shared" si="69"/>
        <v>760</v>
      </c>
      <c r="P128" s="259"/>
      <c r="Q128" s="260">
        <f t="shared" si="70"/>
        <v>19000</v>
      </c>
      <c r="R128" s="260">
        <f t="shared" si="71"/>
        <v>19000</v>
      </c>
      <c r="S128" s="261"/>
      <c r="T128" s="261"/>
      <c r="U128" s="262"/>
      <c r="V128" s="263">
        <f t="shared" si="72"/>
        <v>19000</v>
      </c>
      <c r="W128" s="72"/>
      <c r="X128" s="261">
        <f>IFERROR(VLOOKUP(B128,'Lunch bill'!$B$6:$H$30,7,0),0)</f>
        <v>0</v>
      </c>
      <c r="Y128" s="261">
        <f t="shared" si="63"/>
        <v>0</v>
      </c>
      <c r="Z128" s="261">
        <f>IFERROR(VLOOKUP(B128,'55 Bike '!$B$7:$J$139,9,0),0)</f>
        <v>0</v>
      </c>
      <c r="AA128" s="261"/>
      <c r="AB128" s="73">
        <f t="shared" si="73"/>
        <v>0</v>
      </c>
      <c r="AC128" s="73">
        <f t="shared" si="74"/>
        <v>19000</v>
      </c>
      <c r="AD128" s="264" t="s">
        <v>23</v>
      </c>
      <c r="AE128" s="563" t="s">
        <v>1472</v>
      </c>
      <c r="AF128" s="838"/>
      <c r="AG128" s="796"/>
      <c r="AH128" s="383"/>
      <c r="AI128" s="543"/>
      <c r="AJ128" s="548"/>
      <c r="AK128" s="549"/>
      <c r="AL128" s="198"/>
      <c r="AM128" s="320"/>
      <c r="AP128" s="198"/>
    </row>
    <row r="129" spans="1:43" s="61" customFormat="1" ht="24.95" customHeight="1">
      <c r="A129" s="253">
        <v>88</v>
      </c>
      <c r="B129" s="254" t="s">
        <v>1460</v>
      </c>
      <c r="C129" s="255" t="s">
        <v>1310</v>
      </c>
      <c r="D129" s="278" t="s">
        <v>435</v>
      </c>
      <c r="E129" s="278" t="s">
        <v>97</v>
      </c>
      <c r="F129" s="523">
        <v>45479</v>
      </c>
      <c r="G129" s="257">
        <f>VLOOKUP(B129,Attendance!$B$6:$G$386,6,0)</f>
        <v>31</v>
      </c>
      <c r="H129" s="258">
        <f>VLOOKUP(B$8:B$380,Attendance!$B$6:$L$386,11,0)</f>
        <v>0</v>
      </c>
      <c r="I129" s="257">
        <f t="shared" si="64"/>
        <v>31</v>
      </c>
      <c r="J129" s="258">
        <f t="shared" si="65"/>
        <v>580.64516129032256</v>
      </c>
      <c r="K129" s="72">
        <v>18000</v>
      </c>
      <c r="L129" s="72">
        <f t="shared" si="66"/>
        <v>10800</v>
      </c>
      <c r="M129" s="72">
        <f t="shared" si="67"/>
        <v>5400</v>
      </c>
      <c r="N129" s="72">
        <f t="shared" si="68"/>
        <v>1080</v>
      </c>
      <c r="O129" s="72">
        <f t="shared" si="69"/>
        <v>720</v>
      </c>
      <c r="P129" s="259"/>
      <c r="Q129" s="260">
        <f t="shared" si="70"/>
        <v>18000</v>
      </c>
      <c r="R129" s="260">
        <f t="shared" si="71"/>
        <v>18000</v>
      </c>
      <c r="S129" s="261"/>
      <c r="T129" s="261"/>
      <c r="U129" s="262"/>
      <c r="V129" s="263">
        <f t="shared" si="72"/>
        <v>18000</v>
      </c>
      <c r="W129" s="72"/>
      <c r="X129" s="261">
        <f>IFERROR(VLOOKUP(B129,'Lunch bill'!$B$6:$H$30,7,0),0)</f>
        <v>0</v>
      </c>
      <c r="Y129" s="261">
        <f t="shared" si="63"/>
        <v>0</v>
      </c>
      <c r="Z129" s="261">
        <f>IFERROR(VLOOKUP(B129,'55 Bike '!$B$7:$J$139,9,0),0)</f>
        <v>0</v>
      </c>
      <c r="AA129" s="261"/>
      <c r="AB129" s="73">
        <f t="shared" si="73"/>
        <v>0</v>
      </c>
      <c r="AC129" s="73">
        <f t="shared" si="74"/>
        <v>18000</v>
      </c>
      <c r="AD129" s="264" t="s">
        <v>23</v>
      </c>
      <c r="AE129" s="563" t="s">
        <v>1473</v>
      </c>
      <c r="AF129" s="838"/>
      <c r="AG129" s="796"/>
      <c r="AH129" s="383"/>
      <c r="AI129" s="543"/>
      <c r="AJ129" s="548"/>
      <c r="AK129" s="549"/>
      <c r="AL129" s="198"/>
      <c r="AM129" s="320"/>
      <c r="AP129" s="198"/>
    </row>
    <row r="130" spans="1:43" s="61" customFormat="1" ht="24.95" customHeight="1">
      <c r="A130" s="253">
        <v>89</v>
      </c>
      <c r="B130" s="254" t="s">
        <v>1461</v>
      </c>
      <c r="C130" s="255" t="s">
        <v>1462</v>
      </c>
      <c r="D130" s="278" t="s">
        <v>435</v>
      </c>
      <c r="E130" s="278" t="s">
        <v>97</v>
      </c>
      <c r="F130" s="523">
        <v>45477</v>
      </c>
      <c r="G130" s="257">
        <f>VLOOKUP(B130,Attendance!$B$6:$G$386,6,0)</f>
        <v>31</v>
      </c>
      <c r="H130" s="258">
        <f>VLOOKUP(B$8:B$380,Attendance!$B$6:$L$386,11,0)</f>
        <v>0</v>
      </c>
      <c r="I130" s="257">
        <f t="shared" si="64"/>
        <v>31</v>
      </c>
      <c r="J130" s="258">
        <f t="shared" si="65"/>
        <v>709.67741935483866</v>
      </c>
      <c r="K130" s="72">
        <v>22000</v>
      </c>
      <c r="L130" s="72">
        <f t="shared" si="66"/>
        <v>13200</v>
      </c>
      <c r="M130" s="72">
        <f t="shared" si="67"/>
        <v>6600</v>
      </c>
      <c r="N130" s="72">
        <f t="shared" si="68"/>
        <v>1320</v>
      </c>
      <c r="O130" s="72">
        <f t="shared" si="69"/>
        <v>880</v>
      </c>
      <c r="P130" s="259"/>
      <c r="Q130" s="260">
        <f t="shared" si="70"/>
        <v>22000</v>
      </c>
      <c r="R130" s="260">
        <f t="shared" si="71"/>
        <v>22000</v>
      </c>
      <c r="S130" s="261"/>
      <c r="T130" s="261"/>
      <c r="U130" s="262"/>
      <c r="V130" s="263">
        <f t="shared" si="72"/>
        <v>22000</v>
      </c>
      <c r="W130" s="72"/>
      <c r="X130" s="261">
        <f>IFERROR(VLOOKUP(B130,'Lunch bill'!$B$6:$H$30,7,0),0)</f>
        <v>0</v>
      </c>
      <c r="Y130" s="261">
        <f t="shared" si="63"/>
        <v>0</v>
      </c>
      <c r="Z130" s="261">
        <f>IFERROR(VLOOKUP(B130,'55 Bike '!$B$7:$J$139,9,0),0)</f>
        <v>0</v>
      </c>
      <c r="AA130" s="261"/>
      <c r="AB130" s="73">
        <f t="shared" si="73"/>
        <v>0</v>
      </c>
      <c r="AC130" s="73">
        <f t="shared" si="74"/>
        <v>22000</v>
      </c>
      <c r="AD130" s="264" t="s">
        <v>23</v>
      </c>
      <c r="AE130" s="563" t="s">
        <v>1474</v>
      </c>
      <c r="AF130" s="838"/>
      <c r="AG130" s="796"/>
      <c r="AH130" s="383"/>
      <c r="AI130" s="543"/>
      <c r="AJ130" s="548"/>
      <c r="AK130" s="549"/>
      <c r="AL130" s="198"/>
      <c r="AM130" s="320"/>
      <c r="AP130" s="198"/>
    </row>
    <row r="131" spans="1:43" s="61" customFormat="1" ht="24.95" customHeight="1">
      <c r="A131" s="253">
        <v>90</v>
      </c>
      <c r="B131" s="254" t="s">
        <v>1668</v>
      </c>
      <c r="C131" s="255" t="s">
        <v>1669</v>
      </c>
      <c r="D131" s="278" t="s">
        <v>1067</v>
      </c>
      <c r="E131" s="278" t="s">
        <v>97</v>
      </c>
      <c r="F131" s="523">
        <v>45573</v>
      </c>
      <c r="G131" s="257">
        <f>VLOOKUP(B131,Attendance!$B$6:$G$386,6,0)</f>
        <v>31</v>
      </c>
      <c r="H131" s="258">
        <f>VLOOKUP(B$8:B$380,Attendance!$B$6:$L$386,11,0)</f>
        <v>0</v>
      </c>
      <c r="I131" s="257">
        <f t="shared" ref="I131" si="75">G131-H131</f>
        <v>31</v>
      </c>
      <c r="J131" s="258">
        <f t="shared" si="65"/>
        <v>1064.516129032258</v>
      </c>
      <c r="K131" s="72">
        <v>33000</v>
      </c>
      <c r="L131" s="72">
        <f t="shared" ref="L131" si="76">K131*60%</f>
        <v>19800</v>
      </c>
      <c r="M131" s="72">
        <f t="shared" ref="M131" si="77">K131*30%</f>
        <v>9900</v>
      </c>
      <c r="N131" s="72">
        <f t="shared" ref="N131" si="78">K131*6%</f>
        <v>1980</v>
      </c>
      <c r="O131" s="72">
        <f t="shared" ref="O131" si="79">K131*4%</f>
        <v>1320</v>
      </c>
      <c r="P131" s="259"/>
      <c r="Q131" s="260">
        <f t="shared" ref="Q131" si="80">SUM(L131:P131)</f>
        <v>33000</v>
      </c>
      <c r="R131" s="260">
        <f t="shared" ref="R131" si="81">ROUND(I131*J131,)</f>
        <v>33000</v>
      </c>
      <c r="S131" s="261"/>
      <c r="T131" s="261"/>
      <c r="U131" s="262"/>
      <c r="V131" s="263">
        <f t="shared" ref="V131" si="82">SUM(R131:U131)</f>
        <v>33000</v>
      </c>
      <c r="W131" s="72"/>
      <c r="X131" s="261">
        <f>IFERROR(VLOOKUP(B131,'Lunch bill'!$B$6:$H$30,7,0),0)</f>
        <v>0</v>
      </c>
      <c r="Y131" s="261">
        <f t="shared" ref="Y131" si="83">ROUND(IF($AH$4-F131&gt;=360,L131*5%,0),0)</f>
        <v>0</v>
      </c>
      <c r="Z131" s="261">
        <f>IFERROR(VLOOKUP(B131,'55 Bike '!$B$7:$J$139,9,0),0)</f>
        <v>0</v>
      </c>
      <c r="AA131" s="261"/>
      <c r="AB131" s="73">
        <f t="shared" ref="AB131" si="84">SUM(W131:AA131)</f>
        <v>0</v>
      </c>
      <c r="AC131" s="73">
        <f t="shared" ref="AC131" si="85">ROUND(V131-AB131,0)</f>
        <v>33000</v>
      </c>
      <c r="AD131" s="264" t="s">
        <v>23</v>
      </c>
      <c r="AE131" s="563" t="s">
        <v>1695</v>
      </c>
      <c r="AF131" s="838"/>
      <c r="AG131" s="796"/>
      <c r="AH131" s="383"/>
      <c r="AI131" s="543"/>
      <c r="AJ131" s="548"/>
      <c r="AK131" s="549"/>
      <c r="AL131" s="198"/>
      <c r="AM131" s="320"/>
      <c r="AP131" s="198"/>
    </row>
    <row r="132" spans="1:43" s="61" customFormat="1" ht="24.95" customHeight="1">
      <c r="A132" s="253">
        <v>91</v>
      </c>
      <c r="B132" s="254" t="s">
        <v>1796</v>
      </c>
      <c r="C132" s="255" t="s">
        <v>1797</v>
      </c>
      <c r="D132" s="278" t="s">
        <v>1067</v>
      </c>
      <c r="E132" s="278" t="s">
        <v>97</v>
      </c>
      <c r="F132" s="523">
        <v>45598</v>
      </c>
      <c r="G132" s="257">
        <f>VLOOKUP(B132,Attendance!$B$6:$G$386,6,0)</f>
        <v>31</v>
      </c>
      <c r="H132" s="258">
        <f>VLOOKUP(B$8:B$380,Attendance!$B$6:$L$386,11,0)</f>
        <v>0</v>
      </c>
      <c r="I132" s="257">
        <f t="shared" ref="I132:I137" si="86">G132-H132</f>
        <v>31</v>
      </c>
      <c r="J132" s="258">
        <f t="shared" ref="J132:J137" si="87">Q132/G132</f>
        <v>967.74193548387098</v>
      </c>
      <c r="K132" s="72">
        <v>30000</v>
      </c>
      <c r="L132" s="72">
        <f t="shared" ref="L132:L137" si="88">K132*60%</f>
        <v>18000</v>
      </c>
      <c r="M132" s="72">
        <f t="shared" ref="M132:M137" si="89">K132*30%</f>
        <v>9000</v>
      </c>
      <c r="N132" s="72">
        <f t="shared" ref="N132:N137" si="90">K132*6%</f>
        <v>1800</v>
      </c>
      <c r="O132" s="72">
        <f t="shared" ref="O132:O137" si="91">K132*4%</f>
        <v>1200</v>
      </c>
      <c r="P132" s="259"/>
      <c r="Q132" s="260">
        <f t="shared" ref="Q132:Q137" si="92">SUM(L132:P132)</f>
        <v>30000</v>
      </c>
      <c r="R132" s="260">
        <f t="shared" ref="R132:R137" si="93">ROUND(I132*J132,)</f>
        <v>30000</v>
      </c>
      <c r="S132" s="261"/>
      <c r="T132" s="261"/>
      <c r="U132" s="262"/>
      <c r="V132" s="263">
        <f t="shared" ref="V132:V137" si="94">SUM(R132:U132)</f>
        <v>30000</v>
      </c>
      <c r="W132" s="72"/>
      <c r="X132" s="261">
        <f>IFERROR(VLOOKUP(B132,'Lunch bill'!$B$6:$H$30,7,0),0)</f>
        <v>0</v>
      </c>
      <c r="Y132" s="261">
        <f t="shared" ref="Y132:Y137" si="95">ROUND(IF($AH$4-F132&gt;=360,L132*5%,0),0)</f>
        <v>0</v>
      </c>
      <c r="Z132" s="261">
        <f>IFERROR(VLOOKUP(B132,'55 Bike '!$B$7:$J$139,9,0),0)</f>
        <v>0</v>
      </c>
      <c r="AA132" s="261"/>
      <c r="AB132" s="73">
        <f t="shared" ref="AB132:AB137" si="96">SUM(W132:AA132)</f>
        <v>0</v>
      </c>
      <c r="AC132" s="73">
        <f t="shared" ref="AC132:AC137" si="97">ROUND(V132-AB132,0)</f>
        <v>30000</v>
      </c>
      <c r="AD132" s="264" t="s">
        <v>23</v>
      </c>
      <c r="AE132" s="563" t="s">
        <v>1822</v>
      </c>
      <c r="AF132" s="838"/>
      <c r="AG132" s="796"/>
      <c r="AH132" s="383"/>
      <c r="AI132" s="543"/>
      <c r="AJ132" s="548"/>
      <c r="AK132" s="549"/>
      <c r="AL132" s="198"/>
      <c r="AM132" s="320"/>
      <c r="AP132" s="198"/>
    </row>
    <row r="133" spans="1:43" s="61" customFormat="1" ht="24.95" customHeight="1">
      <c r="A133" s="253">
        <v>92</v>
      </c>
      <c r="B133" s="254" t="s">
        <v>1798</v>
      </c>
      <c r="C133" s="255" t="s">
        <v>1799</v>
      </c>
      <c r="D133" s="278" t="s">
        <v>435</v>
      </c>
      <c r="E133" s="278" t="s">
        <v>97</v>
      </c>
      <c r="F133" s="523">
        <v>45612</v>
      </c>
      <c r="G133" s="257">
        <f>VLOOKUP(B133,Attendance!$B$6:$G$386,6,0)</f>
        <v>31</v>
      </c>
      <c r="H133" s="258">
        <f>VLOOKUP(B$8:B$380,Attendance!$B$6:$L$386,11,0)</f>
        <v>0</v>
      </c>
      <c r="I133" s="257">
        <f t="shared" si="86"/>
        <v>31</v>
      </c>
      <c r="J133" s="258">
        <f t="shared" si="87"/>
        <v>612.90322580645159</v>
      </c>
      <c r="K133" s="72">
        <v>19000</v>
      </c>
      <c r="L133" s="72">
        <f t="shared" si="88"/>
        <v>11400</v>
      </c>
      <c r="M133" s="72">
        <f t="shared" si="89"/>
        <v>5700</v>
      </c>
      <c r="N133" s="72">
        <f t="shared" si="90"/>
        <v>1140</v>
      </c>
      <c r="O133" s="72">
        <f t="shared" si="91"/>
        <v>760</v>
      </c>
      <c r="P133" s="259"/>
      <c r="Q133" s="260">
        <f t="shared" si="92"/>
        <v>19000</v>
      </c>
      <c r="R133" s="260">
        <f t="shared" si="93"/>
        <v>19000</v>
      </c>
      <c r="S133" s="261"/>
      <c r="T133" s="261"/>
      <c r="U133" s="262"/>
      <c r="V133" s="263">
        <f t="shared" si="94"/>
        <v>19000</v>
      </c>
      <c r="W133" s="72"/>
      <c r="X133" s="261">
        <f>IFERROR(VLOOKUP(B133,'Lunch bill'!$B$6:$H$30,7,0),0)</f>
        <v>0</v>
      </c>
      <c r="Y133" s="261">
        <f t="shared" si="95"/>
        <v>0</v>
      </c>
      <c r="Z133" s="261">
        <f>IFERROR(VLOOKUP(B133,'55 Bike '!$B$7:$J$139,9,0),0)</f>
        <v>842</v>
      </c>
      <c r="AA133" s="261"/>
      <c r="AB133" s="73">
        <f t="shared" si="96"/>
        <v>842</v>
      </c>
      <c r="AC133" s="73">
        <f t="shared" si="97"/>
        <v>18158</v>
      </c>
      <c r="AD133" s="264" t="s">
        <v>23</v>
      </c>
      <c r="AE133" s="563" t="s">
        <v>1820</v>
      </c>
      <c r="AF133" s="838"/>
      <c r="AG133" s="796"/>
      <c r="AH133" s="383"/>
      <c r="AI133" s="543"/>
      <c r="AJ133" s="548"/>
      <c r="AK133" s="549"/>
      <c r="AL133" s="198"/>
      <c r="AM133" s="320"/>
      <c r="AP133" s="198"/>
    </row>
    <row r="134" spans="1:43" s="61" customFormat="1" ht="24.95" customHeight="1">
      <c r="A134" s="253">
        <v>93</v>
      </c>
      <c r="B134" s="254" t="s">
        <v>1800</v>
      </c>
      <c r="C134" s="255" t="s">
        <v>1801</v>
      </c>
      <c r="D134" s="278" t="s">
        <v>435</v>
      </c>
      <c r="E134" s="278" t="s">
        <v>97</v>
      </c>
      <c r="F134" s="523">
        <v>45598</v>
      </c>
      <c r="G134" s="257">
        <f>VLOOKUP(B134,Attendance!$B$6:$G$386,6,0)</f>
        <v>31</v>
      </c>
      <c r="H134" s="258">
        <f>VLOOKUP(B$8:B$380,Attendance!$B$6:$L$386,11,0)</f>
        <v>0</v>
      </c>
      <c r="I134" s="257">
        <f t="shared" si="86"/>
        <v>31</v>
      </c>
      <c r="J134" s="258">
        <f t="shared" si="87"/>
        <v>645.16129032258061</v>
      </c>
      <c r="K134" s="72">
        <v>20000</v>
      </c>
      <c r="L134" s="72">
        <f t="shared" si="88"/>
        <v>12000</v>
      </c>
      <c r="M134" s="72">
        <f t="shared" si="89"/>
        <v>6000</v>
      </c>
      <c r="N134" s="72">
        <f t="shared" si="90"/>
        <v>1200</v>
      </c>
      <c r="O134" s="72">
        <f t="shared" si="91"/>
        <v>800</v>
      </c>
      <c r="P134" s="259"/>
      <c r="Q134" s="260">
        <f t="shared" si="92"/>
        <v>20000</v>
      </c>
      <c r="R134" s="260">
        <f t="shared" si="93"/>
        <v>20000</v>
      </c>
      <c r="S134" s="261"/>
      <c r="T134" s="261"/>
      <c r="U134" s="262"/>
      <c r="V134" s="263">
        <f t="shared" si="94"/>
        <v>20000</v>
      </c>
      <c r="W134" s="72"/>
      <c r="X134" s="261">
        <f>IFERROR(VLOOKUP(B134,'Lunch bill'!$B$6:$H$30,7,0),0)</f>
        <v>0</v>
      </c>
      <c r="Y134" s="261">
        <f t="shared" si="95"/>
        <v>0</v>
      </c>
      <c r="Z134" s="261">
        <f>IFERROR(VLOOKUP(B134,'55 Bike '!$B$7:$J$139,9,0),0)</f>
        <v>842</v>
      </c>
      <c r="AA134" s="261"/>
      <c r="AB134" s="73">
        <f t="shared" si="96"/>
        <v>842</v>
      </c>
      <c r="AC134" s="73">
        <f t="shared" si="97"/>
        <v>19158</v>
      </c>
      <c r="AD134" s="264" t="s">
        <v>23</v>
      </c>
      <c r="AE134" s="563" t="s">
        <v>1896</v>
      </c>
      <c r="AF134" s="838"/>
      <c r="AG134" s="796"/>
      <c r="AH134" s="383"/>
      <c r="AI134" s="543"/>
      <c r="AJ134" s="548"/>
      <c r="AK134" s="549"/>
      <c r="AL134" s="198"/>
      <c r="AM134" s="320"/>
      <c r="AP134" s="198"/>
    </row>
    <row r="135" spans="1:43" s="61" customFormat="1" ht="24.95" customHeight="1">
      <c r="A135" s="253">
        <v>94</v>
      </c>
      <c r="B135" s="254" t="s">
        <v>1805</v>
      </c>
      <c r="C135" s="255" t="s">
        <v>1806</v>
      </c>
      <c r="D135" s="278" t="s">
        <v>1807</v>
      </c>
      <c r="E135" s="278" t="s">
        <v>97</v>
      </c>
      <c r="F135" s="523">
        <v>45614</v>
      </c>
      <c r="G135" s="257">
        <f>VLOOKUP(B135,Attendance!$B$6:$G$386,6,0)</f>
        <v>31</v>
      </c>
      <c r="H135" s="258">
        <f>VLOOKUP(B$8:B$380,Attendance!$B$6:$L$386,11,0)</f>
        <v>0</v>
      </c>
      <c r="I135" s="257">
        <f t="shared" si="86"/>
        <v>31</v>
      </c>
      <c r="J135" s="258">
        <f t="shared" si="87"/>
        <v>451.61290322580646</v>
      </c>
      <c r="K135" s="72">
        <v>14000</v>
      </c>
      <c r="L135" s="72">
        <f t="shared" si="88"/>
        <v>8400</v>
      </c>
      <c r="M135" s="72">
        <f t="shared" si="89"/>
        <v>4200</v>
      </c>
      <c r="N135" s="72">
        <f t="shared" si="90"/>
        <v>840</v>
      </c>
      <c r="O135" s="72">
        <f t="shared" si="91"/>
        <v>560</v>
      </c>
      <c r="P135" s="259"/>
      <c r="Q135" s="260">
        <f t="shared" si="92"/>
        <v>14000</v>
      </c>
      <c r="R135" s="260">
        <f t="shared" si="93"/>
        <v>14000</v>
      </c>
      <c r="S135" s="261"/>
      <c r="T135" s="261"/>
      <c r="U135" s="262"/>
      <c r="V135" s="263">
        <f t="shared" si="94"/>
        <v>14000</v>
      </c>
      <c r="W135" s="72"/>
      <c r="X135" s="261">
        <f>IFERROR(VLOOKUP(B135,'Lunch bill'!$B$6:$H$30,7,0),0)</f>
        <v>0</v>
      </c>
      <c r="Y135" s="261">
        <f t="shared" si="95"/>
        <v>0</v>
      </c>
      <c r="Z135" s="261">
        <f>IFERROR(VLOOKUP(B135,'55 Bike '!$B$7:$J$139,9,0),0)</f>
        <v>0</v>
      </c>
      <c r="AA135" s="261"/>
      <c r="AB135" s="73">
        <f t="shared" si="96"/>
        <v>0</v>
      </c>
      <c r="AC135" s="73">
        <f t="shared" si="97"/>
        <v>14000</v>
      </c>
      <c r="AD135" s="264" t="s">
        <v>23</v>
      </c>
      <c r="AE135" s="563" t="s">
        <v>1897</v>
      </c>
      <c r="AF135" s="838"/>
      <c r="AG135" s="796"/>
      <c r="AH135" s="383"/>
      <c r="AI135" s="543"/>
      <c r="AJ135" s="548"/>
      <c r="AK135" s="549"/>
      <c r="AL135" s="198"/>
      <c r="AM135" s="320"/>
      <c r="AP135" s="198"/>
    </row>
    <row r="136" spans="1:43" s="61" customFormat="1" ht="24.95" customHeight="1">
      <c r="A136" s="253">
        <v>95</v>
      </c>
      <c r="B136" s="254" t="s">
        <v>1808</v>
      </c>
      <c r="C136" s="255" t="s">
        <v>1809</v>
      </c>
      <c r="D136" s="278" t="s">
        <v>1807</v>
      </c>
      <c r="E136" s="278" t="s">
        <v>97</v>
      </c>
      <c r="F136" s="523">
        <v>45614</v>
      </c>
      <c r="G136" s="257">
        <f>VLOOKUP(B136,Attendance!$B$6:$G$386,6,0)</f>
        <v>31</v>
      </c>
      <c r="H136" s="258">
        <f>VLOOKUP(B$8:B$380,Attendance!$B$6:$L$386,11,0)</f>
        <v>0</v>
      </c>
      <c r="I136" s="257">
        <f t="shared" si="86"/>
        <v>31</v>
      </c>
      <c r="J136" s="258">
        <f t="shared" si="87"/>
        <v>451.61290322580646</v>
      </c>
      <c r="K136" s="72">
        <v>14000</v>
      </c>
      <c r="L136" s="72">
        <f t="shared" si="88"/>
        <v>8400</v>
      </c>
      <c r="M136" s="72">
        <f t="shared" si="89"/>
        <v>4200</v>
      </c>
      <c r="N136" s="72">
        <f t="shared" si="90"/>
        <v>840</v>
      </c>
      <c r="O136" s="72">
        <f t="shared" si="91"/>
        <v>560</v>
      </c>
      <c r="P136" s="259"/>
      <c r="Q136" s="260">
        <f t="shared" si="92"/>
        <v>14000</v>
      </c>
      <c r="R136" s="260">
        <f t="shared" si="93"/>
        <v>14000</v>
      </c>
      <c r="S136" s="261"/>
      <c r="T136" s="261"/>
      <c r="U136" s="262"/>
      <c r="V136" s="263">
        <f t="shared" si="94"/>
        <v>14000</v>
      </c>
      <c r="W136" s="72"/>
      <c r="X136" s="261">
        <f>IFERROR(VLOOKUP(B136,'Lunch bill'!$B$6:$H$30,7,0),0)</f>
        <v>0</v>
      </c>
      <c r="Y136" s="261">
        <f t="shared" si="95"/>
        <v>0</v>
      </c>
      <c r="Z136" s="261">
        <f>IFERROR(VLOOKUP(B136,'55 Bike '!$B$7:$J$139,9,0),0)</f>
        <v>0</v>
      </c>
      <c r="AA136" s="261"/>
      <c r="AB136" s="73">
        <f t="shared" si="96"/>
        <v>0</v>
      </c>
      <c r="AC136" s="73">
        <f t="shared" si="97"/>
        <v>14000</v>
      </c>
      <c r="AD136" s="264" t="s">
        <v>25</v>
      </c>
      <c r="AE136" s="563"/>
      <c r="AF136" s="838"/>
      <c r="AG136" s="796"/>
      <c r="AH136" s="383"/>
      <c r="AI136" s="543"/>
      <c r="AJ136" s="548"/>
      <c r="AK136" s="549"/>
      <c r="AL136" s="198"/>
      <c r="AM136" s="320"/>
      <c r="AP136" s="198"/>
    </row>
    <row r="137" spans="1:43" s="61" customFormat="1" ht="24.95" customHeight="1">
      <c r="A137" s="253">
        <v>96</v>
      </c>
      <c r="B137" s="254" t="s">
        <v>1812</v>
      </c>
      <c r="C137" s="255" t="s">
        <v>424</v>
      </c>
      <c r="D137" s="278" t="s">
        <v>435</v>
      </c>
      <c r="E137" s="278" t="s">
        <v>97</v>
      </c>
      <c r="F137" s="523">
        <v>45619</v>
      </c>
      <c r="G137" s="257">
        <f>VLOOKUP(B137,Attendance!$B$6:$G$386,6,0)</f>
        <v>31</v>
      </c>
      <c r="H137" s="258">
        <f>VLOOKUP(B$8:B$380,Attendance!$B$6:$L$386,11,0)</f>
        <v>0</v>
      </c>
      <c r="I137" s="257">
        <f t="shared" si="86"/>
        <v>31</v>
      </c>
      <c r="J137" s="258">
        <f t="shared" si="87"/>
        <v>580.64516129032256</v>
      </c>
      <c r="K137" s="72">
        <v>18000</v>
      </c>
      <c r="L137" s="72">
        <f t="shared" si="88"/>
        <v>10800</v>
      </c>
      <c r="M137" s="72">
        <f t="shared" si="89"/>
        <v>5400</v>
      </c>
      <c r="N137" s="72">
        <f t="shared" si="90"/>
        <v>1080</v>
      </c>
      <c r="O137" s="72">
        <f t="shared" si="91"/>
        <v>720</v>
      </c>
      <c r="P137" s="259"/>
      <c r="Q137" s="260">
        <f t="shared" si="92"/>
        <v>18000</v>
      </c>
      <c r="R137" s="260">
        <f t="shared" si="93"/>
        <v>18000</v>
      </c>
      <c r="S137" s="261"/>
      <c r="T137" s="261"/>
      <c r="U137" s="262"/>
      <c r="V137" s="263">
        <f t="shared" si="94"/>
        <v>18000</v>
      </c>
      <c r="W137" s="72"/>
      <c r="X137" s="261">
        <f>IFERROR(VLOOKUP(B137,'Lunch bill'!$B$6:$H$30,7,0),0)</f>
        <v>0</v>
      </c>
      <c r="Y137" s="261">
        <f t="shared" si="95"/>
        <v>0</v>
      </c>
      <c r="Z137" s="261">
        <f>IFERROR(VLOOKUP(B137,'55 Bike '!$B$7:$J$139,9,0),0)</f>
        <v>0</v>
      </c>
      <c r="AA137" s="261"/>
      <c r="AB137" s="73">
        <f t="shared" si="96"/>
        <v>0</v>
      </c>
      <c r="AC137" s="73">
        <f t="shared" si="97"/>
        <v>18000</v>
      </c>
      <c r="AD137" s="264" t="s">
        <v>25</v>
      </c>
      <c r="AE137" s="563"/>
      <c r="AF137" s="838"/>
      <c r="AG137" s="796"/>
      <c r="AH137" s="383"/>
      <c r="AI137" s="543"/>
      <c r="AJ137" s="548"/>
      <c r="AK137" s="549"/>
      <c r="AL137" s="198"/>
      <c r="AM137" s="320"/>
      <c r="AP137" s="198"/>
    </row>
    <row r="138" spans="1:43" s="61" customFormat="1" ht="24.95" customHeight="1">
      <c r="A138" s="253">
        <v>97</v>
      </c>
      <c r="B138" s="254" t="s">
        <v>1846</v>
      </c>
      <c r="C138" s="255" t="s">
        <v>1847</v>
      </c>
      <c r="D138" s="278" t="s">
        <v>435</v>
      </c>
      <c r="E138" s="278" t="s">
        <v>97</v>
      </c>
      <c r="F138" s="523">
        <v>45620</v>
      </c>
      <c r="G138" s="257">
        <f>VLOOKUP(B138,Attendance!$B$6:$G$386,6,0)</f>
        <v>31</v>
      </c>
      <c r="H138" s="258">
        <f>VLOOKUP(B$8:B$380,Attendance!$B$6:$L$386,11,0)</f>
        <v>0</v>
      </c>
      <c r="I138" s="257">
        <f t="shared" ref="I138:I139" si="98">G138-H138</f>
        <v>31</v>
      </c>
      <c r="J138" s="258">
        <f t="shared" ref="J138:J139" si="99">Q138/G138</f>
        <v>645.16129032258061</v>
      </c>
      <c r="K138" s="72">
        <v>20000</v>
      </c>
      <c r="L138" s="72">
        <f t="shared" ref="L138:L139" si="100">K138*60%</f>
        <v>12000</v>
      </c>
      <c r="M138" s="72">
        <f t="shared" ref="M138:M139" si="101">K138*30%</f>
        <v>6000</v>
      </c>
      <c r="N138" s="72">
        <f t="shared" ref="N138:N139" si="102">K138*6%</f>
        <v>1200</v>
      </c>
      <c r="O138" s="72">
        <f t="shared" ref="O138:O139" si="103">K138*4%</f>
        <v>800</v>
      </c>
      <c r="P138" s="259"/>
      <c r="Q138" s="260">
        <f t="shared" ref="Q138:Q139" si="104">SUM(L138:P138)</f>
        <v>20000</v>
      </c>
      <c r="R138" s="260">
        <f t="shared" ref="R138:R139" si="105">ROUND(I138*J138,)</f>
        <v>20000</v>
      </c>
      <c r="S138" s="261"/>
      <c r="T138" s="261"/>
      <c r="U138" s="262">
        <v>4516</v>
      </c>
      <c r="V138" s="263">
        <f t="shared" ref="V138:V139" si="106">SUM(R138:U138)</f>
        <v>24516</v>
      </c>
      <c r="W138" s="72"/>
      <c r="X138" s="261">
        <f>IFERROR(VLOOKUP(B138,'Lunch bill'!$B$6:$H$30,7,0),0)</f>
        <v>0</v>
      </c>
      <c r="Y138" s="261">
        <f t="shared" ref="Y138:Y139" si="107">ROUND(IF($AH$4-F138&gt;=360,L138*5%,0),0)</f>
        <v>0</v>
      </c>
      <c r="Z138" s="261">
        <f>IFERROR(VLOOKUP(B138,'55 Bike '!$B$7:$J$139,9,0),0)</f>
        <v>0</v>
      </c>
      <c r="AA138" s="261"/>
      <c r="AB138" s="73">
        <f t="shared" ref="AB138:AB139" si="108">SUM(W138:AA138)</f>
        <v>0</v>
      </c>
      <c r="AC138" s="73">
        <f t="shared" ref="AC138:AC139" si="109">ROUND(V138-AB138,0)</f>
        <v>24516</v>
      </c>
      <c r="AD138" s="264" t="s">
        <v>23</v>
      </c>
      <c r="AE138" s="563" t="s">
        <v>1872</v>
      </c>
      <c r="AF138" s="838"/>
      <c r="AG138" s="796"/>
      <c r="AH138" s="383"/>
      <c r="AI138" s="543"/>
      <c r="AJ138" s="548"/>
      <c r="AK138" s="549"/>
      <c r="AL138" s="198"/>
      <c r="AM138" s="320"/>
      <c r="AP138" s="198"/>
    </row>
    <row r="139" spans="1:43" s="61" customFormat="1" ht="24.95" customHeight="1">
      <c r="A139" s="253">
        <v>98</v>
      </c>
      <c r="B139" s="254" t="s">
        <v>1849</v>
      </c>
      <c r="C139" s="255" t="s">
        <v>1850</v>
      </c>
      <c r="D139" s="278" t="s">
        <v>439</v>
      </c>
      <c r="E139" s="278" t="s">
        <v>97</v>
      </c>
      <c r="F139" s="523">
        <v>45640</v>
      </c>
      <c r="G139" s="257">
        <f>VLOOKUP(B139,Attendance!$B$6:$G$386,6,0)</f>
        <v>31</v>
      </c>
      <c r="H139" s="258">
        <f>VLOOKUP(B$8:B$380,Attendance!$B$6:$L$386,11,0)</f>
        <v>13</v>
      </c>
      <c r="I139" s="257">
        <f t="shared" si="98"/>
        <v>18</v>
      </c>
      <c r="J139" s="258">
        <f t="shared" si="99"/>
        <v>612.90322580645159</v>
      </c>
      <c r="K139" s="72">
        <v>19000</v>
      </c>
      <c r="L139" s="72">
        <f t="shared" si="100"/>
        <v>11400</v>
      </c>
      <c r="M139" s="72">
        <f t="shared" si="101"/>
        <v>5700</v>
      </c>
      <c r="N139" s="72">
        <f t="shared" si="102"/>
        <v>1140</v>
      </c>
      <c r="O139" s="72">
        <f t="shared" si="103"/>
        <v>760</v>
      </c>
      <c r="P139" s="259"/>
      <c r="Q139" s="260">
        <f t="shared" si="104"/>
        <v>19000</v>
      </c>
      <c r="R139" s="260">
        <f t="shared" si="105"/>
        <v>11032</v>
      </c>
      <c r="S139" s="261"/>
      <c r="T139" s="261"/>
      <c r="U139" s="262"/>
      <c r="V139" s="263">
        <f t="shared" si="106"/>
        <v>11032</v>
      </c>
      <c r="W139" s="72"/>
      <c r="X139" s="261">
        <f>IFERROR(VLOOKUP(B139,'Lunch bill'!$B$6:$H$30,7,0),0)</f>
        <v>0</v>
      </c>
      <c r="Y139" s="261">
        <f t="shared" si="107"/>
        <v>0</v>
      </c>
      <c r="Z139" s="261">
        <f>IFERROR(VLOOKUP(B139,'55 Bike '!$B$7:$J$139,9,0),0)</f>
        <v>0</v>
      </c>
      <c r="AA139" s="261"/>
      <c r="AB139" s="73">
        <f t="shared" si="108"/>
        <v>0</v>
      </c>
      <c r="AC139" s="73">
        <f t="shared" si="109"/>
        <v>11032</v>
      </c>
      <c r="AD139" s="264" t="s">
        <v>23</v>
      </c>
      <c r="AE139" s="563" t="s">
        <v>1871</v>
      </c>
      <c r="AF139" s="838"/>
      <c r="AG139" s="796"/>
      <c r="AH139" s="383"/>
      <c r="AI139" s="543"/>
      <c r="AJ139" s="548"/>
      <c r="AK139" s="549"/>
      <c r="AL139" s="198"/>
      <c r="AM139" s="320"/>
      <c r="AP139" s="198"/>
    </row>
    <row r="140" spans="1:43" s="61" customFormat="1" ht="24.95" customHeight="1">
      <c r="A140" s="101" t="s">
        <v>67</v>
      </c>
      <c r="B140" s="102"/>
      <c r="C140" s="103"/>
      <c r="D140" s="282"/>
      <c r="E140" s="282"/>
      <c r="F140" s="526"/>
      <c r="G140" s="104"/>
      <c r="H140" s="104"/>
      <c r="I140" s="104"/>
      <c r="J140" s="104"/>
      <c r="K140" s="107">
        <f>SUM(K42:K139)</f>
        <v>2190710</v>
      </c>
      <c r="L140" s="107">
        <f t="shared" ref="L140:AC140" si="110">SUM(L42:L139)</f>
        <v>1314426</v>
      </c>
      <c r="M140" s="107">
        <f t="shared" si="110"/>
        <v>657213</v>
      </c>
      <c r="N140" s="107">
        <f t="shared" si="110"/>
        <v>131442.6</v>
      </c>
      <c r="O140" s="107">
        <f t="shared" si="110"/>
        <v>87628.4</v>
      </c>
      <c r="P140" s="107">
        <f t="shared" si="110"/>
        <v>7350</v>
      </c>
      <c r="Q140" s="107">
        <f t="shared" si="110"/>
        <v>2198060</v>
      </c>
      <c r="R140" s="107">
        <f t="shared" si="110"/>
        <v>2158819</v>
      </c>
      <c r="S140" s="107">
        <f t="shared" si="110"/>
        <v>0</v>
      </c>
      <c r="T140" s="107">
        <f t="shared" si="110"/>
        <v>0</v>
      </c>
      <c r="U140" s="107">
        <f t="shared" si="110"/>
        <v>4516</v>
      </c>
      <c r="V140" s="107">
        <f t="shared" si="110"/>
        <v>2163335</v>
      </c>
      <c r="W140" s="107">
        <f t="shared" si="110"/>
        <v>4754.2857142857138</v>
      </c>
      <c r="X140" s="107">
        <f t="shared" si="110"/>
        <v>2550</v>
      </c>
      <c r="Y140" s="107">
        <f t="shared" si="110"/>
        <v>49605</v>
      </c>
      <c r="Z140" s="107">
        <f t="shared" si="110"/>
        <v>72609</v>
      </c>
      <c r="AA140" s="107">
        <f t="shared" si="110"/>
        <v>0</v>
      </c>
      <c r="AB140" s="107">
        <f t="shared" si="110"/>
        <v>129518.28571428571</v>
      </c>
      <c r="AC140" s="107">
        <f t="shared" si="110"/>
        <v>2033817</v>
      </c>
      <c r="AD140" s="107"/>
      <c r="AE140" s="113"/>
      <c r="AF140" s="838"/>
      <c r="AG140" s="199"/>
      <c r="AH140" s="383"/>
      <c r="AI140" s="543"/>
      <c r="AJ140" s="548"/>
      <c r="AK140" s="549"/>
      <c r="AL140" s="198"/>
      <c r="AM140" s="320"/>
      <c r="AP140" s="198"/>
    </row>
    <row r="141" spans="1:43" s="47" customFormat="1" ht="24.95" customHeight="1">
      <c r="A141" s="347" t="s">
        <v>200</v>
      </c>
      <c r="B141" s="268"/>
      <c r="C141" s="268"/>
      <c r="D141" s="348"/>
      <c r="E141" s="499"/>
      <c r="F141" s="530"/>
      <c r="G141" s="268"/>
      <c r="H141" s="267"/>
      <c r="I141" s="268"/>
      <c r="J141" s="268"/>
      <c r="K141" s="268"/>
      <c r="L141" s="268"/>
      <c r="M141" s="268"/>
      <c r="N141" s="268"/>
      <c r="O141" s="268"/>
      <c r="P141" s="268"/>
      <c r="Q141" s="268"/>
      <c r="R141" s="268"/>
      <c r="S141" s="268"/>
      <c r="T141" s="268"/>
      <c r="U141" s="268"/>
      <c r="V141" s="268"/>
      <c r="W141" s="268"/>
      <c r="X141" s="268"/>
      <c r="Y141" s="267"/>
      <c r="Z141" s="268"/>
      <c r="AA141" s="268"/>
      <c r="AB141" s="268"/>
      <c r="AC141" s="268"/>
      <c r="AD141" s="268"/>
      <c r="AE141" s="349"/>
      <c r="AF141" s="838"/>
      <c r="AG141" s="90"/>
      <c r="AH141" s="383"/>
      <c r="AI141" s="543"/>
      <c r="AJ141" s="548"/>
      <c r="AK141" s="549"/>
      <c r="AL141" s="198"/>
      <c r="AM141" s="320"/>
      <c r="AN141" s="61"/>
      <c r="AO141" s="61"/>
      <c r="AP141" s="198"/>
      <c r="AQ141" s="61"/>
    </row>
    <row r="142" spans="1:43" s="61" customFormat="1" ht="27" customHeight="1">
      <c r="A142" s="339">
        <v>1</v>
      </c>
      <c r="B142" s="340" t="s">
        <v>205</v>
      </c>
      <c r="C142" s="341" t="s">
        <v>206</v>
      </c>
      <c r="D142" s="342" t="str">
        <f>VLOOKUP(B142,Attendance!$B$6:$D$385,3,0)</f>
        <v>Territory Sales Officer (Stemz)</v>
      </c>
      <c r="E142" s="342" t="s">
        <v>203</v>
      </c>
      <c r="F142" s="529">
        <v>44024</v>
      </c>
      <c r="G142" s="257">
        <f>VLOOKUP(B142,Attendance!$B$6:$G$386,6,0)</f>
        <v>31</v>
      </c>
      <c r="H142" s="258">
        <f>VLOOKUP(B$8:B$380,Attendance!$B$6:$L$386,11,0)</f>
        <v>0</v>
      </c>
      <c r="I142" s="257">
        <f t="shared" ref="I142:I163" si="111">G142-H142</f>
        <v>31</v>
      </c>
      <c r="J142" s="258">
        <f t="shared" ref="J142:J163" si="112">Q142/G142</f>
        <v>1048.3870967741937</v>
      </c>
      <c r="K142" s="192">
        <v>32500</v>
      </c>
      <c r="L142" s="192">
        <f t="shared" ref="L142:L163" si="113">K142*60%</f>
        <v>19500</v>
      </c>
      <c r="M142" s="192">
        <f t="shared" ref="M142:M163" si="114">K142*30%</f>
        <v>9750</v>
      </c>
      <c r="N142" s="192">
        <f t="shared" ref="N142:N163" si="115">K142*6%</f>
        <v>1950</v>
      </c>
      <c r="O142" s="192">
        <f t="shared" ref="O142:O163" si="116">K142*4%</f>
        <v>1300</v>
      </c>
      <c r="P142" s="344">
        <v>0</v>
      </c>
      <c r="Q142" s="345">
        <v>32500</v>
      </c>
      <c r="R142" s="345">
        <f t="shared" ref="R142:R163" si="117">ROUND(I142*J142,)</f>
        <v>32500</v>
      </c>
      <c r="S142" s="337">
        <v>2000</v>
      </c>
      <c r="T142" s="337"/>
      <c r="U142" s="809"/>
      <c r="V142" s="338">
        <f t="shared" ref="V142:V163" si="118">SUM(R142:U142)</f>
        <v>34500</v>
      </c>
      <c r="W142" s="192">
        <v>0</v>
      </c>
      <c r="X142" s="337">
        <f>IFERROR(VLOOKUP(B142,'Lunch bill'!$B$6:$H$30,7,0),0)</f>
        <v>0</v>
      </c>
      <c r="Y142" s="337">
        <f t="shared" ref="Y142:Y163" si="119">ROUND(IF($AH$4-F142&gt;=360,L142*5%,0),0)</f>
        <v>975</v>
      </c>
      <c r="Z142" s="337">
        <f>IFERROR(VLOOKUP(B142,'55 Bike '!$B$7:$J$139,9,0),0)</f>
        <v>2160</v>
      </c>
      <c r="AA142" s="337"/>
      <c r="AB142" s="193">
        <f t="shared" ref="AB142:AB163" si="120">SUM(W142:AA142)</f>
        <v>3135</v>
      </c>
      <c r="AC142" s="193">
        <f t="shared" ref="AC142:AC163" si="121">ROUND(V142-AB142,0)</f>
        <v>31365</v>
      </c>
      <c r="AD142" s="346" t="s">
        <v>23</v>
      </c>
      <c r="AE142" s="343" t="s">
        <v>207</v>
      </c>
      <c r="AF142" s="838"/>
      <c r="AG142" s="205"/>
      <c r="AH142" s="383"/>
      <c r="AI142" s="543"/>
      <c r="AJ142" s="548"/>
      <c r="AK142" s="548"/>
      <c r="AL142" s="198"/>
      <c r="AM142" s="320"/>
      <c r="AP142" s="198"/>
    </row>
    <row r="143" spans="1:43" s="61" customFormat="1" ht="24.95" customHeight="1">
      <c r="A143" s="253">
        <v>2</v>
      </c>
      <c r="B143" s="254" t="s">
        <v>208</v>
      </c>
      <c r="C143" s="255" t="s">
        <v>209</v>
      </c>
      <c r="D143" s="278" t="str">
        <f>VLOOKUP(B143,Attendance!$B$6:$D$385,3,0)</f>
        <v>Territory Sales Officer</v>
      </c>
      <c r="E143" s="278" t="s">
        <v>203</v>
      </c>
      <c r="F143" s="523">
        <v>44654</v>
      </c>
      <c r="G143" s="257">
        <f>VLOOKUP(B143,Attendance!$B$6:$G$386,6,0)</f>
        <v>31</v>
      </c>
      <c r="H143" s="258">
        <f>VLOOKUP(B$8:B$380,Attendance!$B$6:$L$386,11,0)</f>
        <v>0</v>
      </c>
      <c r="I143" s="257">
        <f t="shared" si="111"/>
        <v>31</v>
      </c>
      <c r="J143" s="258">
        <f t="shared" si="112"/>
        <v>887.09677419354841</v>
      </c>
      <c r="K143" s="192">
        <v>27500</v>
      </c>
      <c r="L143" s="72">
        <f t="shared" si="113"/>
        <v>16500</v>
      </c>
      <c r="M143" s="72">
        <f t="shared" si="114"/>
        <v>8250</v>
      </c>
      <c r="N143" s="72">
        <f t="shared" si="115"/>
        <v>1650</v>
      </c>
      <c r="O143" s="72">
        <f t="shared" si="116"/>
        <v>1100</v>
      </c>
      <c r="P143" s="259">
        <v>0</v>
      </c>
      <c r="Q143" s="260">
        <f t="shared" ref="Q143:Q163" si="122">SUM(L143:P143)</f>
        <v>27500</v>
      </c>
      <c r="R143" s="260">
        <f t="shared" si="117"/>
        <v>27500</v>
      </c>
      <c r="S143" s="261"/>
      <c r="T143" s="261"/>
      <c r="U143" s="809"/>
      <c r="V143" s="263">
        <f t="shared" si="118"/>
        <v>27500</v>
      </c>
      <c r="W143" s="72">
        <v>0</v>
      </c>
      <c r="X143" s="261">
        <f>IFERROR(VLOOKUP(B143,'Lunch bill'!$B$6:$H$30,7,0),0)</f>
        <v>0</v>
      </c>
      <c r="Y143" s="261">
        <f t="shared" si="119"/>
        <v>825</v>
      </c>
      <c r="Z143" s="261">
        <f>IFERROR(VLOOKUP(B143,'55 Bike '!$B$7:$J$139,9,0),0)</f>
        <v>2160</v>
      </c>
      <c r="AA143" s="261"/>
      <c r="AB143" s="73">
        <f t="shared" si="120"/>
        <v>2985</v>
      </c>
      <c r="AC143" s="73">
        <f t="shared" si="121"/>
        <v>24515</v>
      </c>
      <c r="AD143" s="264" t="s">
        <v>23</v>
      </c>
      <c r="AE143" s="256" t="s">
        <v>210</v>
      </c>
      <c r="AF143" s="838"/>
      <c r="AG143" s="205"/>
      <c r="AH143" s="383"/>
      <c r="AI143" s="543"/>
      <c r="AJ143" s="548"/>
      <c r="AK143" s="548"/>
      <c r="AL143" s="198"/>
      <c r="AM143" s="320"/>
      <c r="AP143" s="198"/>
    </row>
    <row r="144" spans="1:43" s="47" customFormat="1" ht="24.95" customHeight="1">
      <c r="A144" s="253">
        <v>3</v>
      </c>
      <c r="B144" s="254" t="s">
        <v>211</v>
      </c>
      <c r="C144" s="255" t="s">
        <v>212</v>
      </c>
      <c r="D144" s="278" t="str">
        <f>VLOOKUP(B144,Attendance!$B$6:$D$385,3,0)</f>
        <v>Territory Sales Officer</v>
      </c>
      <c r="E144" s="278" t="s">
        <v>203</v>
      </c>
      <c r="F144" s="523">
        <v>44654</v>
      </c>
      <c r="G144" s="257">
        <f>VLOOKUP(B144,Attendance!$B$6:$G$386,6,0)</f>
        <v>31</v>
      </c>
      <c r="H144" s="258">
        <f>VLOOKUP(B$8:B$380,Attendance!$B$6:$L$386,11,0)</f>
        <v>0</v>
      </c>
      <c r="I144" s="257">
        <f t="shared" si="111"/>
        <v>31</v>
      </c>
      <c r="J144" s="258">
        <f t="shared" si="112"/>
        <v>967.74193548387098</v>
      </c>
      <c r="K144" s="192">
        <v>30000</v>
      </c>
      <c r="L144" s="72">
        <f t="shared" si="113"/>
        <v>18000</v>
      </c>
      <c r="M144" s="72">
        <f t="shared" si="114"/>
        <v>9000</v>
      </c>
      <c r="N144" s="72">
        <f t="shared" si="115"/>
        <v>1800</v>
      </c>
      <c r="O144" s="72">
        <f t="shared" si="116"/>
        <v>1200</v>
      </c>
      <c r="P144" s="259">
        <v>0</v>
      </c>
      <c r="Q144" s="260">
        <f t="shared" si="122"/>
        <v>30000</v>
      </c>
      <c r="R144" s="260">
        <f t="shared" si="117"/>
        <v>30000</v>
      </c>
      <c r="S144" s="261"/>
      <c r="T144" s="261"/>
      <c r="U144" s="809"/>
      <c r="V144" s="263">
        <f t="shared" si="118"/>
        <v>30000</v>
      </c>
      <c r="W144" s="72">
        <v>0</v>
      </c>
      <c r="X144" s="261">
        <f>IFERROR(VLOOKUP(B144,'Lunch bill'!$B$6:$H$30,7,0),0)</f>
        <v>0</v>
      </c>
      <c r="Y144" s="261">
        <f t="shared" si="119"/>
        <v>900</v>
      </c>
      <c r="Z144" s="261">
        <f>IFERROR(VLOOKUP(B144,'55 Bike '!$B$7:$J$139,9,0),0)</f>
        <v>1058</v>
      </c>
      <c r="AA144" s="261"/>
      <c r="AB144" s="73">
        <f t="shared" si="120"/>
        <v>1958</v>
      </c>
      <c r="AC144" s="73">
        <f t="shared" si="121"/>
        <v>28042</v>
      </c>
      <c r="AD144" s="264" t="s">
        <v>23</v>
      </c>
      <c r="AE144" s="256" t="s">
        <v>530</v>
      </c>
      <c r="AF144" s="838"/>
      <c r="AG144" s="205"/>
      <c r="AH144" s="383"/>
      <c r="AI144" s="543"/>
      <c r="AJ144" s="548"/>
      <c r="AK144" s="548"/>
      <c r="AL144" s="198"/>
      <c r="AM144" s="320"/>
      <c r="AN144" s="61"/>
      <c r="AO144" s="61"/>
      <c r="AP144" s="198"/>
      <c r="AQ144" s="61"/>
    </row>
    <row r="145" spans="1:43" s="47" customFormat="1" ht="33">
      <c r="A145" s="253">
        <v>4</v>
      </c>
      <c r="B145" s="254" t="s">
        <v>213</v>
      </c>
      <c r="C145" s="255" t="s">
        <v>214</v>
      </c>
      <c r="D145" s="278" t="str">
        <f>VLOOKUP(B145,Attendance!$B$6:$D$385,3,0)</f>
        <v>Assistant Territory Manager</v>
      </c>
      <c r="E145" s="278" t="s">
        <v>203</v>
      </c>
      <c r="F145" s="523">
        <v>44625</v>
      </c>
      <c r="G145" s="257">
        <f>VLOOKUP(B145,Attendance!$B$6:$G$386,6,0)</f>
        <v>31</v>
      </c>
      <c r="H145" s="258">
        <f>VLOOKUP(B$8:B$380,Attendance!$B$6:$L$386,11,0)</f>
        <v>0</v>
      </c>
      <c r="I145" s="257">
        <f t="shared" si="111"/>
        <v>31</v>
      </c>
      <c r="J145" s="258">
        <f t="shared" si="112"/>
        <v>1403.2258064516129</v>
      </c>
      <c r="K145" s="192">
        <v>43500</v>
      </c>
      <c r="L145" s="72">
        <f t="shared" si="113"/>
        <v>26100</v>
      </c>
      <c r="M145" s="72">
        <f t="shared" si="114"/>
        <v>13050</v>
      </c>
      <c r="N145" s="72">
        <f t="shared" si="115"/>
        <v>2610</v>
      </c>
      <c r="O145" s="72">
        <f t="shared" si="116"/>
        <v>1740</v>
      </c>
      <c r="P145" s="259">
        <v>0</v>
      </c>
      <c r="Q145" s="260">
        <f t="shared" si="122"/>
        <v>43500</v>
      </c>
      <c r="R145" s="260">
        <f t="shared" si="117"/>
        <v>43500</v>
      </c>
      <c r="S145" s="261"/>
      <c r="T145" s="261"/>
      <c r="U145" s="809"/>
      <c r="V145" s="263">
        <f t="shared" si="118"/>
        <v>43500</v>
      </c>
      <c r="W145" s="72">
        <v>417</v>
      </c>
      <c r="X145" s="261">
        <f>IFERROR(VLOOKUP(B145,'Lunch bill'!$B$6:$H$30,7,0),0)</f>
        <v>0</v>
      </c>
      <c r="Y145" s="261">
        <f t="shared" si="119"/>
        <v>1305</v>
      </c>
      <c r="Z145" s="261">
        <f>IFERROR(VLOOKUP(B145,'55 Bike '!$B$7:$J$139,9,0),0)</f>
        <v>0</v>
      </c>
      <c r="AA145" s="261"/>
      <c r="AB145" s="73">
        <f t="shared" si="120"/>
        <v>1722</v>
      </c>
      <c r="AC145" s="73">
        <f t="shared" si="121"/>
        <v>41778</v>
      </c>
      <c r="AD145" s="264" t="s">
        <v>23</v>
      </c>
      <c r="AE145" s="256" t="s">
        <v>215</v>
      </c>
      <c r="AF145" s="838"/>
      <c r="AG145" s="205"/>
      <c r="AH145" s="383"/>
      <c r="AI145" s="543"/>
      <c r="AJ145" s="548"/>
      <c r="AK145" s="548"/>
      <c r="AL145" s="198"/>
      <c r="AM145" s="320"/>
      <c r="AN145" s="61"/>
      <c r="AO145" s="61"/>
      <c r="AP145" s="198"/>
      <c r="AQ145" s="61"/>
    </row>
    <row r="146" spans="1:43" s="47" customFormat="1" ht="33" customHeight="1">
      <c r="A146" s="253">
        <v>5</v>
      </c>
      <c r="B146" s="254" t="s">
        <v>216</v>
      </c>
      <c r="C146" s="255" t="s">
        <v>217</v>
      </c>
      <c r="D146" s="278" t="str">
        <f>VLOOKUP(B146,Attendance!$B$6:$D$385,3,0)</f>
        <v>Assistant Territory Manager</v>
      </c>
      <c r="E146" s="278" t="s">
        <v>203</v>
      </c>
      <c r="F146" s="523">
        <v>44626</v>
      </c>
      <c r="G146" s="257">
        <f>VLOOKUP(B146,Attendance!$B$6:$G$386,6,0)</f>
        <v>31</v>
      </c>
      <c r="H146" s="258">
        <f>VLOOKUP(B$8:B$380,Attendance!$B$6:$L$386,11,0)</f>
        <v>0</v>
      </c>
      <c r="I146" s="257">
        <f t="shared" si="111"/>
        <v>31</v>
      </c>
      <c r="J146" s="258">
        <f t="shared" si="112"/>
        <v>1516.1290322580646</v>
      </c>
      <c r="K146" s="72">
        <v>47000</v>
      </c>
      <c r="L146" s="72">
        <f t="shared" si="113"/>
        <v>28200</v>
      </c>
      <c r="M146" s="72">
        <f t="shared" si="114"/>
        <v>14100</v>
      </c>
      <c r="N146" s="72">
        <f t="shared" si="115"/>
        <v>2820</v>
      </c>
      <c r="O146" s="72">
        <f t="shared" si="116"/>
        <v>1880</v>
      </c>
      <c r="P146" s="259">
        <v>0</v>
      </c>
      <c r="Q146" s="260">
        <f t="shared" si="122"/>
        <v>47000</v>
      </c>
      <c r="R146" s="260">
        <f t="shared" si="117"/>
        <v>47000</v>
      </c>
      <c r="S146" s="261"/>
      <c r="T146" s="261"/>
      <c r="U146" s="809"/>
      <c r="V146" s="263">
        <f t="shared" si="118"/>
        <v>47000</v>
      </c>
      <c r="W146" s="72">
        <v>417</v>
      </c>
      <c r="X146" s="261">
        <f>IFERROR(VLOOKUP(B146,'Lunch bill'!$B$6:$H$30,7,0),0)</f>
        <v>0</v>
      </c>
      <c r="Y146" s="261">
        <f t="shared" si="119"/>
        <v>1410</v>
      </c>
      <c r="Z146" s="261">
        <f>IFERROR(VLOOKUP(B146,'55 Bike '!$B$7:$J$139,9,0),0)</f>
        <v>2160</v>
      </c>
      <c r="AA146" s="261"/>
      <c r="AB146" s="73">
        <f t="shared" si="120"/>
        <v>3987</v>
      </c>
      <c r="AC146" s="73">
        <f t="shared" si="121"/>
        <v>43013</v>
      </c>
      <c r="AD146" s="264" t="s">
        <v>23</v>
      </c>
      <c r="AE146" s="256" t="s">
        <v>218</v>
      </c>
      <c r="AF146" s="838"/>
      <c r="AG146" s="205"/>
      <c r="AH146" s="383"/>
      <c r="AI146" s="543"/>
      <c r="AJ146" s="548"/>
      <c r="AK146" s="548"/>
      <c r="AL146" s="198"/>
      <c r="AM146" s="320"/>
      <c r="AN146" s="61"/>
      <c r="AO146" s="61"/>
      <c r="AP146" s="198"/>
      <c r="AQ146" s="61"/>
    </row>
    <row r="147" spans="1:43" s="47" customFormat="1" ht="24.95" customHeight="1">
      <c r="A147" s="253">
        <v>6</v>
      </c>
      <c r="B147" s="254" t="s">
        <v>219</v>
      </c>
      <c r="C147" s="255" t="s">
        <v>220</v>
      </c>
      <c r="D147" s="278" t="str">
        <f>VLOOKUP(B147,Attendance!$B$6:$D$385,3,0)</f>
        <v>Territory Manager</v>
      </c>
      <c r="E147" s="278" t="s">
        <v>203</v>
      </c>
      <c r="F147" s="523">
        <v>44621</v>
      </c>
      <c r="G147" s="257">
        <f>VLOOKUP(B147,Attendance!$B$6:$G$386,6,0)</f>
        <v>31</v>
      </c>
      <c r="H147" s="258">
        <f>VLOOKUP(B$8:B$380,Attendance!$B$6:$L$386,11,0)</f>
        <v>0</v>
      </c>
      <c r="I147" s="257">
        <f t="shared" si="111"/>
        <v>31</v>
      </c>
      <c r="J147" s="258">
        <f t="shared" si="112"/>
        <v>1725.8064516129032</v>
      </c>
      <c r="K147" s="192">
        <v>53500</v>
      </c>
      <c r="L147" s="72">
        <f t="shared" si="113"/>
        <v>32100</v>
      </c>
      <c r="M147" s="72">
        <f t="shared" si="114"/>
        <v>16050</v>
      </c>
      <c r="N147" s="72">
        <f t="shared" si="115"/>
        <v>3210</v>
      </c>
      <c r="O147" s="72">
        <f t="shared" si="116"/>
        <v>2140</v>
      </c>
      <c r="P147" s="259">
        <v>0</v>
      </c>
      <c r="Q147" s="260">
        <f t="shared" si="122"/>
        <v>53500</v>
      </c>
      <c r="R147" s="260">
        <f t="shared" si="117"/>
        <v>53500</v>
      </c>
      <c r="S147" s="261"/>
      <c r="T147" s="261"/>
      <c r="U147" s="809"/>
      <c r="V147" s="263">
        <f t="shared" si="118"/>
        <v>53500</v>
      </c>
      <c r="W147" s="72">
        <v>417</v>
      </c>
      <c r="X147" s="261">
        <f>IFERROR(VLOOKUP(B147,'Lunch bill'!$B$6:$H$30,7,0),0)</f>
        <v>0</v>
      </c>
      <c r="Y147" s="261">
        <f t="shared" si="119"/>
        <v>1605</v>
      </c>
      <c r="Z147" s="261">
        <f>IFERROR(VLOOKUP(B147,'55 Bike '!$B$7:$J$139,9,0),0)</f>
        <v>2160</v>
      </c>
      <c r="AA147" s="261"/>
      <c r="AB147" s="73">
        <f t="shared" si="120"/>
        <v>4182</v>
      </c>
      <c r="AC147" s="73">
        <f t="shared" si="121"/>
        <v>49318</v>
      </c>
      <c r="AD147" s="264" t="s">
        <v>23</v>
      </c>
      <c r="AE147" s="256" t="s">
        <v>691</v>
      </c>
      <c r="AF147" s="838"/>
      <c r="AG147" s="205"/>
      <c r="AH147" s="383"/>
      <c r="AI147" s="543"/>
      <c r="AJ147" s="548"/>
      <c r="AK147" s="548"/>
      <c r="AL147" s="198"/>
      <c r="AM147" s="320"/>
      <c r="AN147" s="61"/>
      <c r="AO147" s="61"/>
      <c r="AP147" s="198"/>
      <c r="AQ147" s="61"/>
    </row>
    <row r="148" spans="1:43" s="832" customFormat="1" ht="33" customHeight="1">
      <c r="A148" s="253">
        <v>7</v>
      </c>
      <c r="B148" s="813" t="s">
        <v>221</v>
      </c>
      <c r="C148" s="814" t="s">
        <v>222</v>
      </c>
      <c r="D148" s="815" t="str">
        <f>VLOOKUP(B148,Attendance!$B$6:$D$385,3,0)</f>
        <v>Sr. Territory Manager</v>
      </c>
      <c r="E148" s="815" t="s">
        <v>203</v>
      </c>
      <c r="F148" s="816">
        <v>44625</v>
      </c>
      <c r="G148" s="817">
        <f>VLOOKUP(B148,Attendance!$B$6:$G$386,6,0)</f>
        <v>31</v>
      </c>
      <c r="H148" s="818">
        <f>VLOOKUP(B$8:B$380,Attendance!$B$6:$L$386,11,0)</f>
        <v>0</v>
      </c>
      <c r="I148" s="817">
        <f t="shared" si="111"/>
        <v>31</v>
      </c>
      <c r="J148" s="818">
        <f t="shared" si="112"/>
        <v>1354.8387096774193</v>
      </c>
      <c r="K148" s="767">
        <v>42000</v>
      </c>
      <c r="L148" s="767">
        <f t="shared" si="113"/>
        <v>25200</v>
      </c>
      <c r="M148" s="767">
        <f t="shared" si="114"/>
        <v>12600</v>
      </c>
      <c r="N148" s="767">
        <f t="shared" si="115"/>
        <v>2520</v>
      </c>
      <c r="O148" s="767">
        <f t="shared" si="116"/>
        <v>1680</v>
      </c>
      <c r="P148" s="819">
        <v>0</v>
      </c>
      <c r="Q148" s="820">
        <f t="shared" si="122"/>
        <v>42000</v>
      </c>
      <c r="R148" s="820">
        <f t="shared" si="117"/>
        <v>42000</v>
      </c>
      <c r="S148" s="766"/>
      <c r="T148" s="766"/>
      <c r="U148" s="809"/>
      <c r="V148" s="822">
        <f t="shared" si="118"/>
        <v>42000</v>
      </c>
      <c r="W148" s="767">
        <v>715</v>
      </c>
      <c r="X148" s="766">
        <f>IFERROR(VLOOKUP(B148,'Lunch bill'!$B$6:$H$30,7,0),0)</f>
        <v>0</v>
      </c>
      <c r="Y148" s="766">
        <f t="shared" si="119"/>
        <v>1260</v>
      </c>
      <c r="Z148" s="261">
        <f>IFERROR(VLOOKUP(B148,'55 Bike '!$B$7:$J$139,9,0),0)</f>
        <v>2160</v>
      </c>
      <c r="AA148" s="766"/>
      <c r="AB148" s="823">
        <f t="shared" si="120"/>
        <v>4135</v>
      </c>
      <c r="AC148" s="823">
        <f t="shared" si="121"/>
        <v>37865</v>
      </c>
      <c r="AD148" s="824" t="s">
        <v>23</v>
      </c>
      <c r="AE148" s="825" t="s">
        <v>223</v>
      </c>
      <c r="AF148" s="838"/>
      <c r="AG148" s="826"/>
      <c r="AH148" s="827"/>
      <c r="AI148" s="828"/>
      <c r="AJ148" s="829"/>
      <c r="AK148" s="829"/>
      <c r="AL148" s="830"/>
      <c r="AM148" s="831"/>
      <c r="AP148" s="830"/>
    </row>
    <row r="149" spans="1:43" s="47" customFormat="1" ht="24.95" customHeight="1">
      <c r="A149" s="253">
        <v>8</v>
      </c>
      <c r="B149" s="254" t="s">
        <v>224</v>
      </c>
      <c r="C149" s="255" t="s">
        <v>225</v>
      </c>
      <c r="D149" s="278" t="str">
        <f>VLOOKUP(B149,Attendance!$B$6:$D$385,3,0)</f>
        <v>Territory Sales officer</v>
      </c>
      <c r="E149" s="278" t="s">
        <v>203</v>
      </c>
      <c r="F149" s="523">
        <v>44635</v>
      </c>
      <c r="G149" s="257">
        <f>VLOOKUP(B149,Attendance!$B$6:$G$386,6,0)</f>
        <v>31</v>
      </c>
      <c r="H149" s="258">
        <f>VLOOKUP(B$8:B$380,Attendance!$B$6:$L$386,11,0)</f>
        <v>0</v>
      </c>
      <c r="I149" s="257">
        <f t="shared" si="111"/>
        <v>31</v>
      </c>
      <c r="J149" s="258">
        <f t="shared" si="112"/>
        <v>903.22580645161293</v>
      </c>
      <c r="K149" s="192">
        <v>28000</v>
      </c>
      <c r="L149" s="72">
        <f t="shared" si="113"/>
        <v>16800</v>
      </c>
      <c r="M149" s="72">
        <f t="shared" si="114"/>
        <v>8400</v>
      </c>
      <c r="N149" s="72">
        <f t="shared" si="115"/>
        <v>1680</v>
      </c>
      <c r="O149" s="72">
        <f t="shared" si="116"/>
        <v>1120</v>
      </c>
      <c r="P149" s="259">
        <v>0</v>
      </c>
      <c r="Q149" s="260">
        <f t="shared" si="122"/>
        <v>28000</v>
      </c>
      <c r="R149" s="260">
        <f t="shared" si="117"/>
        <v>28000</v>
      </c>
      <c r="S149" s="261"/>
      <c r="T149" s="261"/>
      <c r="U149" s="809"/>
      <c r="V149" s="263">
        <f t="shared" si="118"/>
        <v>28000</v>
      </c>
      <c r="W149" s="72">
        <v>0</v>
      </c>
      <c r="X149" s="261">
        <f>IFERROR(VLOOKUP(B149,'Lunch bill'!$B$6:$H$30,7,0),0)</f>
        <v>0</v>
      </c>
      <c r="Y149" s="261">
        <f t="shared" si="119"/>
        <v>840</v>
      </c>
      <c r="Z149" s="261">
        <f>IFERROR(VLOOKUP(B149,'55 Bike '!$B$7:$J$139,9,0),0)</f>
        <v>1058</v>
      </c>
      <c r="AA149" s="261"/>
      <c r="AB149" s="73">
        <f t="shared" si="120"/>
        <v>1898</v>
      </c>
      <c r="AC149" s="73">
        <f t="shared" si="121"/>
        <v>26102</v>
      </c>
      <c r="AD149" s="264" t="s">
        <v>23</v>
      </c>
      <c r="AE149" s="256" t="s">
        <v>226</v>
      </c>
      <c r="AF149" s="838"/>
      <c r="AG149" s="205"/>
      <c r="AH149" s="383"/>
      <c r="AI149" s="543"/>
      <c r="AJ149" s="548"/>
      <c r="AK149" s="548"/>
      <c r="AL149" s="198"/>
      <c r="AM149" s="320"/>
      <c r="AN149" s="61"/>
      <c r="AO149" s="61"/>
      <c r="AP149" s="198"/>
      <c r="AQ149" s="61"/>
    </row>
    <row r="150" spans="1:43" s="61" customFormat="1" ht="24.95" customHeight="1">
      <c r="A150" s="253">
        <v>9</v>
      </c>
      <c r="B150" s="254" t="s">
        <v>227</v>
      </c>
      <c r="C150" s="255" t="s">
        <v>228</v>
      </c>
      <c r="D150" s="278" t="str">
        <f>VLOOKUP(B150,Attendance!$B$6:$D$385,3,0)</f>
        <v>Sr. Terrtory Manager</v>
      </c>
      <c r="E150" s="278" t="s">
        <v>203</v>
      </c>
      <c r="F150" s="523">
        <v>44640</v>
      </c>
      <c r="G150" s="257">
        <f>VLOOKUP(B150,Attendance!$B$6:$G$386,6,0)</f>
        <v>31</v>
      </c>
      <c r="H150" s="258">
        <f>VLOOKUP(B$8:B$380,Attendance!$B$6:$L$386,11,0)</f>
        <v>27</v>
      </c>
      <c r="I150" s="257">
        <f t="shared" si="111"/>
        <v>4</v>
      </c>
      <c r="J150" s="258">
        <f t="shared" si="112"/>
        <v>1709.6774193548388</v>
      </c>
      <c r="K150" s="192">
        <v>53000</v>
      </c>
      <c r="L150" s="72">
        <f t="shared" si="113"/>
        <v>31800</v>
      </c>
      <c r="M150" s="72">
        <f t="shared" si="114"/>
        <v>15900</v>
      </c>
      <c r="N150" s="72">
        <f t="shared" si="115"/>
        <v>3180</v>
      </c>
      <c r="O150" s="72">
        <f t="shared" si="116"/>
        <v>2120</v>
      </c>
      <c r="P150" s="259">
        <v>0</v>
      </c>
      <c r="Q150" s="260">
        <f t="shared" si="122"/>
        <v>53000</v>
      </c>
      <c r="R150" s="260">
        <f t="shared" si="117"/>
        <v>6839</v>
      </c>
      <c r="S150" s="261"/>
      <c r="T150" s="261"/>
      <c r="U150" s="809"/>
      <c r="V150" s="263">
        <f t="shared" si="118"/>
        <v>6839</v>
      </c>
      <c r="W150" s="72">
        <v>417</v>
      </c>
      <c r="X150" s="261">
        <f>IFERROR(VLOOKUP(B150,'Lunch bill'!$B$6:$H$30,7,0),0)</f>
        <v>0</v>
      </c>
      <c r="Y150" s="261">
        <f t="shared" si="119"/>
        <v>1590</v>
      </c>
      <c r="Z150" s="261">
        <f>IFERROR(VLOOKUP(B150,'55 Bike '!$B$7:$J$139,9,0),0)</f>
        <v>2160</v>
      </c>
      <c r="AA150" s="261"/>
      <c r="AB150" s="73">
        <f t="shared" si="120"/>
        <v>4167</v>
      </c>
      <c r="AC150" s="73">
        <f t="shared" si="121"/>
        <v>2672</v>
      </c>
      <c r="AD150" s="264" t="s">
        <v>25</v>
      </c>
      <c r="AE150" s="256" t="s">
        <v>1876</v>
      </c>
      <c r="AF150" s="838"/>
      <c r="AG150" s="205"/>
      <c r="AH150" s="383"/>
      <c r="AI150" s="543"/>
      <c r="AJ150" s="548"/>
      <c r="AK150" s="548"/>
      <c r="AL150" s="198"/>
      <c r="AM150" s="320"/>
      <c r="AP150" s="198"/>
    </row>
    <row r="151" spans="1:43" s="61" customFormat="1" ht="24.95" customHeight="1">
      <c r="A151" s="253">
        <v>10</v>
      </c>
      <c r="B151" s="254" t="s">
        <v>229</v>
      </c>
      <c r="C151" s="255" t="s">
        <v>230</v>
      </c>
      <c r="D151" s="278" t="str">
        <f>VLOOKUP(B151,Attendance!$B$6:$D$385,3,0)</f>
        <v>Sr. Territory Sales officer</v>
      </c>
      <c r="E151" s="278" t="s">
        <v>203</v>
      </c>
      <c r="F151" s="523">
        <v>44635</v>
      </c>
      <c r="G151" s="257">
        <f>VLOOKUP(B151,Attendance!$B$6:$G$386,6,0)</f>
        <v>31</v>
      </c>
      <c r="H151" s="258">
        <f>VLOOKUP(B$8:B$380,Attendance!$B$6:$L$386,11,0)</f>
        <v>0</v>
      </c>
      <c r="I151" s="257">
        <f t="shared" si="111"/>
        <v>31</v>
      </c>
      <c r="J151" s="258">
        <f t="shared" si="112"/>
        <v>983.87096774193549</v>
      </c>
      <c r="K151" s="72">
        <v>30500</v>
      </c>
      <c r="L151" s="72">
        <f t="shared" si="113"/>
        <v>18300</v>
      </c>
      <c r="M151" s="72">
        <f t="shared" si="114"/>
        <v>9150</v>
      </c>
      <c r="N151" s="72">
        <f t="shared" si="115"/>
        <v>1830</v>
      </c>
      <c r="O151" s="72">
        <f t="shared" si="116"/>
        <v>1220</v>
      </c>
      <c r="P151" s="259">
        <v>0</v>
      </c>
      <c r="Q151" s="260">
        <f t="shared" si="122"/>
        <v>30500</v>
      </c>
      <c r="R151" s="260">
        <f t="shared" si="117"/>
        <v>30500</v>
      </c>
      <c r="S151" s="261"/>
      <c r="T151" s="261"/>
      <c r="U151" s="809"/>
      <c r="V151" s="263">
        <f t="shared" si="118"/>
        <v>30500</v>
      </c>
      <c r="W151" s="72">
        <v>0</v>
      </c>
      <c r="X151" s="261">
        <f>IFERROR(VLOOKUP(B151,'Lunch bill'!$B$6:$H$30,7,0),0)</f>
        <v>0</v>
      </c>
      <c r="Y151" s="261">
        <f t="shared" si="119"/>
        <v>915</v>
      </c>
      <c r="Z151" s="261">
        <f>IFERROR(VLOOKUP(B151,'55 Bike '!$B$7:$J$139,9,0),0)</f>
        <v>1058</v>
      </c>
      <c r="AA151" s="261"/>
      <c r="AB151" s="73">
        <f t="shared" si="120"/>
        <v>1973</v>
      </c>
      <c r="AC151" s="73">
        <f t="shared" si="121"/>
        <v>28527</v>
      </c>
      <c r="AD151" s="264" t="s">
        <v>23</v>
      </c>
      <c r="AE151" s="256" t="s">
        <v>231</v>
      </c>
      <c r="AF151" s="838"/>
      <c r="AG151" s="205"/>
      <c r="AH151" s="383"/>
      <c r="AI151" s="543"/>
      <c r="AJ151" s="548"/>
      <c r="AK151" s="548"/>
      <c r="AL151" s="198"/>
      <c r="AM151" s="320"/>
      <c r="AP151" s="198"/>
    </row>
    <row r="152" spans="1:43" s="61" customFormat="1" ht="24.95" customHeight="1">
      <c r="A152" s="253">
        <v>11</v>
      </c>
      <c r="B152" s="254" t="s">
        <v>232</v>
      </c>
      <c r="C152" s="255" t="s">
        <v>233</v>
      </c>
      <c r="D152" s="278" t="str">
        <f>VLOOKUP(B152,Attendance!$B$6:$D$385,3,0)</f>
        <v>Territory Sales officer</v>
      </c>
      <c r="E152" s="278" t="s">
        <v>203</v>
      </c>
      <c r="F152" s="523">
        <v>44653</v>
      </c>
      <c r="G152" s="257">
        <f>VLOOKUP(B152,Attendance!$B$6:$G$386,6,0)</f>
        <v>31</v>
      </c>
      <c r="H152" s="258">
        <f>VLOOKUP(B$8:B$380,Attendance!$B$6:$L$386,11,0)</f>
        <v>0</v>
      </c>
      <c r="I152" s="257">
        <f t="shared" si="111"/>
        <v>31</v>
      </c>
      <c r="J152" s="258">
        <f t="shared" si="112"/>
        <v>870.9677419354839</v>
      </c>
      <c r="K152" s="192">
        <v>27000</v>
      </c>
      <c r="L152" s="72">
        <f t="shared" si="113"/>
        <v>16200</v>
      </c>
      <c r="M152" s="72">
        <f t="shared" si="114"/>
        <v>8100</v>
      </c>
      <c r="N152" s="72">
        <f t="shared" si="115"/>
        <v>1620</v>
      </c>
      <c r="O152" s="72">
        <f t="shared" si="116"/>
        <v>1080</v>
      </c>
      <c r="P152" s="259">
        <v>0</v>
      </c>
      <c r="Q152" s="260">
        <f t="shared" si="122"/>
        <v>27000</v>
      </c>
      <c r="R152" s="260">
        <f t="shared" si="117"/>
        <v>27000</v>
      </c>
      <c r="S152" s="261"/>
      <c r="T152" s="261"/>
      <c r="U152" s="809"/>
      <c r="V152" s="263">
        <f t="shared" si="118"/>
        <v>27000</v>
      </c>
      <c r="W152" s="72">
        <v>0</v>
      </c>
      <c r="X152" s="261">
        <f>IFERROR(VLOOKUP(B152,'Lunch bill'!$B$6:$H$30,7,0),0)</f>
        <v>0</v>
      </c>
      <c r="Y152" s="261">
        <f t="shared" si="119"/>
        <v>810</v>
      </c>
      <c r="Z152" s="261">
        <f>IFERROR(VLOOKUP(B152,'55 Bike '!$B$7:$J$139,9,0),0)</f>
        <v>1058</v>
      </c>
      <c r="AA152" s="261"/>
      <c r="AB152" s="73">
        <f t="shared" si="120"/>
        <v>1868</v>
      </c>
      <c r="AC152" s="73">
        <f t="shared" si="121"/>
        <v>25132</v>
      </c>
      <c r="AD152" s="264" t="s">
        <v>23</v>
      </c>
      <c r="AE152" s="256" t="s">
        <v>234</v>
      </c>
      <c r="AF152" s="838"/>
      <c r="AG152" s="205"/>
      <c r="AH152" s="383"/>
      <c r="AI152" s="543"/>
      <c r="AJ152" s="548"/>
      <c r="AK152" s="548"/>
      <c r="AL152" s="198"/>
      <c r="AM152" s="320"/>
      <c r="AP152" s="198"/>
    </row>
    <row r="153" spans="1:43" s="61" customFormat="1" ht="33">
      <c r="A153" s="253">
        <v>12</v>
      </c>
      <c r="B153" s="254" t="s">
        <v>235</v>
      </c>
      <c r="C153" s="255" t="s">
        <v>236</v>
      </c>
      <c r="D153" s="278" t="str">
        <f>VLOOKUP(B153,Attendance!$B$6:$D$385,3,0)</f>
        <v>Assistant Regional Manager</v>
      </c>
      <c r="E153" s="278" t="s">
        <v>203</v>
      </c>
      <c r="F153" s="523">
        <v>44641</v>
      </c>
      <c r="G153" s="257">
        <f>VLOOKUP(B153,Attendance!$B$6:$G$386,6,0)</f>
        <v>31</v>
      </c>
      <c r="H153" s="258">
        <f>VLOOKUP(B$8:B$380,Attendance!$B$6:$L$386,11,0)</f>
        <v>0</v>
      </c>
      <c r="I153" s="257">
        <f t="shared" si="111"/>
        <v>31</v>
      </c>
      <c r="J153" s="258">
        <f t="shared" si="112"/>
        <v>1516.1290322580646</v>
      </c>
      <c r="K153" s="192">
        <v>47000</v>
      </c>
      <c r="L153" s="72">
        <f t="shared" si="113"/>
        <v>28200</v>
      </c>
      <c r="M153" s="72">
        <f t="shared" si="114"/>
        <v>14100</v>
      </c>
      <c r="N153" s="72">
        <f t="shared" si="115"/>
        <v>2820</v>
      </c>
      <c r="O153" s="72">
        <f t="shared" si="116"/>
        <v>1880</v>
      </c>
      <c r="P153" s="259">
        <v>0</v>
      </c>
      <c r="Q153" s="260">
        <f t="shared" si="122"/>
        <v>47000</v>
      </c>
      <c r="R153" s="260">
        <f t="shared" si="117"/>
        <v>47000</v>
      </c>
      <c r="S153" s="261"/>
      <c r="T153" s="261"/>
      <c r="U153" s="809"/>
      <c r="V153" s="263">
        <f t="shared" si="118"/>
        <v>47000</v>
      </c>
      <c r="W153" s="72">
        <v>417</v>
      </c>
      <c r="X153" s="261">
        <f>IFERROR(VLOOKUP(B153,'Lunch bill'!$B$6:$H$30,7,0),0)</f>
        <v>0</v>
      </c>
      <c r="Y153" s="261">
        <f t="shared" si="119"/>
        <v>1410</v>
      </c>
      <c r="Z153" s="261">
        <f>IFERROR(VLOOKUP(B153,'55 Bike '!$B$7:$J$139,9,0),0)</f>
        <v>0</v>
      </c>
      <c r="AA153" s="261"/>
      <c r="AB153" s="73">
        <f t="shared" si="120"/>
        <v>1827</v>
      </c>
      <c r="AC153" s="73">
        <f t="shared" si="121"/>
        <v>45173</v>
      </c>
      <c r="AD153" s="264" t="s">
        <v>23</v>
      </c>
      <c r="AE153" s="256" t="s">
        <v>237</v>
      </c>
      <c r="AF153" s="838"/>
      <c r="AG153" s="205"/>
      <c r="AH153" s="383"/>
      <c r="AI153" s="543"/>
      <c r="AJ153" s="548"/>
      <c r="AK153" s="548"/>
      <c r="AL153" s="198"/>
      <c r="AM153" s="320"/>
      <c r="AP153" s="198"/>
    </row>
    <row r="154" spans="1:43" s="61" customFormat="1" ht="33">
      <c r="A154" s="253">
        <v>13</v>
      </c>
      <c r="B154" s="254" t="s">
        <v>238</v>
      </c>
      <c r="C154" s="255" t="s">
        <v>239</v>
      </c>
      <c r="D154" s="278" t="str">
        <f>VLOOKUP(B154,Attendance!$B$6:$D$385,3,0)</f>
        <v>Territory Sales officer(Stemz)</v>
      </c>
      <c r="E154" s="278" t="s">
        <v>203</v>
      </c>
      <c r="F154" s="523">
        <v>44625</v>
      </c>
      <c r="G154" s="257">
        <f>VLOOKUP(B154,Attendance!$B$6:$G$386,6,0)</f>
        <v>31</v>
      </c>
      <c r="H154" s="258">
        <f>VLOOKUP(B$8:B$380,Attendance!$B$6:$L$386,11,0)</f>
        <v>0</v>
      </c>
      <c r="I154" s="257">
        <f t="shared" si="111"/>
        <v>31</v>
      </c>
      <c r="J154" s="258">
        <f t="shared" si="112"/>
        <v>838.70967741935488</v>
      </c>
      <c r="K154" s="192">
        <v>26000</v>
      </c>
      <c r="L154" s="72">
        <f t="shared" si="113"/>
        <v>15600</v>
      </c>
      <c r="M154" s="72">
        <f t="shared" si="114"/>
        <v>7800</v>
      </c>
      <c r="N154" s="72">
        <f t="shared" si="115"/>
        <v>1560</v>
      </c>
      <c r="O154" s="72">
        <f t="shared" si="116"/>
        <v>1040</v>
      </c>
      <c r="P154" s="259">
        <v>0</v>
      </c>
      <c r="Q154" s="260">
        <f t="shared" si="122"/>
        <v>26000</v>
      </c>
      <c r="R154" s="260">
        <f t="shared" si="117"/>
        <v>26000</v>
      </c>
      <c r="S154" s="261">
        <v>2000</v>
      </c>
      <c r="T154" s="261"/>
      <c r="U154" s="809"/>
      <c r="V154" s="263">
        <f t="shared" si="118"/>
        <v>28000</v>
      </c>
      <c r="W154" s="72">
        <v>0</v>
      </c>
      <c r="X154" s="261">
        <f>IFERROR(VLOOKUP(B154,'Lunch bill'!$B$6:$H$30,7,0),0)</f>
        <v>0</v>
      </c>
      <c r="Y154" s="261">
        <f t="shared" si="119"/>
        <v>780</v>
      </c>
      <c r="Z154" s="261">
        <f>IFERROR(VLOOKUP(B154,'55 Bike '!$B$7:$J$139,9,0),0)</f>
        <v>0</v>
      </c>
      <c r="AA154" s="261"/>
      <c r="AB154" s="73">
        <f t="shared" si="120"/>
        <v>780</v>
      </c>
      <c r="AC154" s="73">
        <f t="shared" si="121"/>
        <v>27220</v>
      </c>
      <c r="AD154" s="264" t="s">
        <v>23</v>
      </c>
      <c r="AE154" s="256" t="s">
        <v>240</v>
      </c>
      <c r="AF154" s="838"/>
      <c r="AG154" s="205"/>
      <c r="AH154" s="383"/>
      <c r="AI154" s="543"/>
      <c r="AJ154" s="548"/>
      <c r="AK154" s="548"/>
      <c r="AL154" s="198"/>
      <c r="AM154" s="320"/>
      <c r="AP154" s="198"/>
    </row>
    <row r="155" spans="1:43" s="61" customFormat="1" ht="24.95" customHeight="1">
      <c r="A155" s="253">
        <v>14</v>
      </c>
      <c r="B155" s="254" t="s">
        <v>241</v>
      </c>
      <c r="C155" s="255" t="s">
        <v>242</v>
      </c>
      <c r="D155" s="278" t="str">
        <f>VLOOKUP(B155,Attendance!$B$6:$D$385,3,0)</f>
        <v>AGM</v>
      </c>
      <c r="E155" s="278" t="s">
        <v>203</v>
      </c>
      <c r="F155" s="523">
        <v>44317</v>
      </c>
      <c r="G155" s="257">
        <f>VLOOKUP(B155,Attendance!$B$6:$G$386,6,0)</f>
        <v>31</v>
      </c>
      <c r="H155" s="258">
        <f>VLOOKUP(B$8:B$380,Attendance!$B$6:$L$386,11,0)</f>
        <v>0</v>
      </c>
      <c r="I155" s="257">
        <f t="shared" si="111"/>
        <v>31</v>
      </c>
      <c r="J155" s="258">
        <f t="shared" si="112"/>
        <v>3064.516129032258</v>
      </c>
      <c r="K155" s="192">
        <v>95000</v>
      </c>
      <c r="L155" s="72">
        <f t="shared" si="113"/>
        <v>57000</v>
      </c>
      <c r="M155" s="72">
        <f t="shared" si="114"/>
        <v>28500</v>
      </c>
      <c r="N155" s="72">
        <f t="shared" si="115"/>
        <v>5700</v>
      </c>
      <c r="O155" s="72">
        <f t="shared" si="116"/>
        <v>3800</v>
      </c>
      <c r="P155" s="259">
        <v>0</v>
      </c>
      <c r="Q155" s="260">
        <f t="shared" si="122"/>
        <v>95000</v>
      </c>
      <c r="R155" s="260">
        <f t="shared" si="117"/>
        <v>95000</v>
      </c>
      <c r="S155" s="261"/>
      <c r="T155" s="261"/>
      <c r="U155" s="809"/>
      <c r="V155" s="263">
        <f t="shared" si="118"/>
        <v>95000</v>
      </c>
      <c r="W155" s="72">
        <v>1725.8571428571429</v>
      </c>
      <c r="X155" s="261">
        <f>IFERROR(VLOOKUP(B155,'Lunch bill'!$B$6:$H$30,7,0),0)</f>
        <v>0</v>
      </c>
      <c r="Y155" s="261">
        <f t="shared" si="119"/>
        <v>2850</v>
      </c>
      <c r="Z155" s="261">
        <f>IFERROR(VLOOKUP(B155,'55 Bike '!$B$7:$J$139,9,0),0)</f>
        <v>0</v>
      </c>
      <c r="AA155" s="261"/>
      <c r="AB155" s="73">
        <f t="shared" si="120"/>
        <v>4575.8571428571431</v>
      </c>
      <c r="AC155" s="73">
        <f t="shared" si="121"/>
        <v>90424</v>
      </c>
      <c r="AD155" s="264" t="s">
        <v>23</v>
      </c>
      <c r="AE155" s="256" t="s">
        <v>243</v>
      </c>
      <c r="AF155" s="838"/>
      <c r="AG155" s="205"/>
      <c r="AH155" s="383"/>
      <c r="AI155" s="543"/>
      <c r="AJ155" s="548"/>
      <c r="AK155" s="548"/>
      <c r="AL155" s="198"/>
      <c r="AM155" s="320"/>
      <c r="AP155" s="198"/>
    </row>
    <row r="156" spans="1:43" s="61" customFormat="1" ht="24.95" customHeight="1">
      <c r="A156" s="253">
        <v>15</v>
      </c>
      <c r="B156" s="254" t="s">
        <v>244</v>
      </c>
      <c r="C156" s="255" t="s">
        <v>245</v>
      </c>
      <c r="D156" s="278" t="str">
        <f>VLOOKUP(B156,Attendance!$B$6:$D$385,3,0)</f>
        <v>RM</v>
      </c>
      <c r="E156" s="278" t="s">
        <v>203</v>
      </c>
      <c r="F156" s="523">
        <v>44440</v>
      </c>
      <c r="G156" s="257">
        <f>VLOOKUP(B156,Attendance!$B$6:$G$386,6,0)</f>
        <v>31</v>
      </c>
      <c r="H156" s="258">
        <f>VLOOKUP(B$8:B$380,Attendance!$B$6:$L$386,11,0)</f>
        <v>0</v>
      </c>
      <c r="I156" s="257">
        <f t="shared" si="111"/>
        <v>31</v>
      </c>
      <c r="J156" s="258">
        <f t="shared" si="112"/>
        <v>2096.7741935483873</v>
      </c>
      <c r="K156" s="192">
        <v>65000</v>
      </c>
      <c r="L156" s="72">
        <f t="shared" si="113"/>
        <v>39000</v>
      </c>
      <c r="M156" s="72">
        <f t="shared" si="114"/>
        <v>19500</v>
      </c>
      <c r="N156" s="72">
        <f t="shared" si="115"/>
        <v>3900</v>
      </c>
      <c r="O156" s="72">
        <f t="shared" si="116"/>
        <v>2600</v>
      </c>
      <c r="P156" s="259">
        <v>0</v>
      </c>
      <c r="Q156" s="260">
        <f t="shared" si="122"/>
        <v>65000</v>
      </c>
      <c r="R156" s="260">
        <f>ROUND(I156*J156,)</f>
        <v>65000</v>
      </c>
      <c r="S156" s="261"/>
      <c r="T156" s="261"/>
      <c r="U156" s="809"/>
      <c r="V156" s="263">
        <f t="shared" si="118"/>
        <v>65000</v>
      </c>
      <c r="W156" s="72">
        <v>417</v>
      </c>
      <c r="X156" s="261">
        <f>IFERROR(VLOOKUP(B156,'Lunch bill'!$B$6:$H$30,7,0),0)</f>
        <v>0</v>
      </c>
      <c r="Y156" s="261">
        <f t="shared" si="119"/>
        <v>1950</v>
      </c>
      <c r="Z156" s="261">
        <f>IFERROR(VLOOKUP(B156,'55 Bike '!$B$7:$J$139,9,0),0)</f>
        <v>3118</v>
      </c>
      <c r="AA156" s="261"/>
      <c r="AB156" s="73">
        <f t="shared" si="120"/>
        <v>5485</v>
      </c>
      <c r="AC156" s="73">
        <f t="shared" si="121"/>
        <v>59515</v>
      </c>
      <c r="AD156" s="264" t="s">
        <v>23</v>
      </c>
      <c r="AE156" s="256" t="s">
        <v>246</v>
      </c>
      <c r="AF156" s="838"/>
      <c r="AG156" s="205"/>
      <c r="AH156" s="383"/>
      <c r="AI156" s="543"/>
      <c r="AJ156" s="548"/>
      <c r="AK156" s="548"/>
      <c r="AL156" s="198"/>
      <c r="AM156" s="320"/>
      <c r="AP156" s="198"/>
    </row>
    <row r="157" spans="1:43" s="61" customFormat="1" ht="24.95" customHeight="1">
      <c r="A157" s="253">
        <v>16</v>
      </c>
      <c r="B157" s="254" t="s">
        <v>247</v>
      </c>
      <c r="C157" s="255" t="s">
        <v>248</v>
      </c>
      <c r="D157" s="278" t="str">
        <f>VLOOKUP(B157,Attendance!$B$6:$D$385,3,0)</f>
        <v>Sr. Regional Manager</v>
      </c>
      <c r="E157" s="278" t="s">
        <v>203</v>
      </c>
      <c r="F157" s="523">
        <v>44472</v>
      </c>
      <c r="G157" s="257">
        <f>VLOOKUP(B157,Attendance!$B$6:$G$386,6,0)</f>
        <v>31</v>
      </c>
      <c r="H157" s="258">
        <f>VLOOKUP(B$8:B$380,Attendance!$B$6:$L$386,11,0)</f>
        <v>0</v>
      </c>
      <c r="I157" s="257">
        <f t="shared" si="111"/>
        <v>31</v>
      </c>
      <c r="J157" s="258">
        <f t="shared" si="112"/>
        <v>2258.0645161290322</v>
      </c>
      <c r="K157" s="192">
        <v>70000</v>
      </c>
      <c r="L157" s="72">
        <f t="shared" si="113"/>
        <v>42000</v>
      </c>
      <c r="M157" s="72">
        <f t="shared" si="114"/>
        <v>21000</v>
      </c>
      <c r="N157" s="72">
        <f t="shared" si="115"/>
        <v>4200</v>
      </c>
      <c r="O157" s="72">
        <f t="shared" si="116"/>
        <v>2800</v>
      </c>
      <c r="P157" s="259">
        <v>0</v>
      </c>
      <c r="Q157" s="260">
        <f t="shared" si="122"/>
        <v>70000</v>
      </c>
      <c r="R157" s="260">
        <f>ROUND(I157*J157,)</f>
        <v>70000</v>
      </c>
      <c r="S157" s="261"/>
      <c r="T157" s="261"/>
      <c r="U157" s="809"/>
      <c r="V157" s="263">
        <f t="shared" si="118"/>
        <v>70000</v>
      </c>
      <c r="W157" s="72">
        <v>417</v>
      </c>
      <c r="X157" s="261">
        <f>IFERROR(VLOOKUP(B157,'Lunch bill'!$B$6:$H$30,7,0),0)</f>
        <v>0</v>
      </c>
      <c r="Y157" s="261">
        <f t="shared" si="119"/>
        <v>2100</v>
      </c>
      <c r="Z157" s="261">
        <f>IFERROR(VLOOKUP(B157,'55 Bike '!$B$7:$J$139,9,0),0)</f>
        <v>0</v>
      </c>
      <c r="AA157" s="261"/>
      <c r="AB157" s="73">
        <f t="shared" si="120"/>
        <v>2517</v>
      </c>
      <c r="AC157" s="73">
        <f t="shared" si="121"/>
        <v>67483</v>
      </c>
      <c r="AD157" s="264" t="s">
        <v>23</v>
      </c>
      <c r="AE157" s="256" t="s">
        <v>249</v>
      </c>
      <c r="AF157" s="838"/>
      <c r="AG157" s="205"/>
      <c r="AH157" s="383"/>
      <c r="AI157" s="543"/>
      <c r="AJ157" s="548"/>
      <c r="AK157" s="548"/>
      <c r="AL157" s="198"/>
      <c r="AM157" s="320"/>
      <c r="AP157" s="198"/>
    </row>
    <row r="158" spans="1:43" s="61" customFormat="1" ht="24.95" customHeight="1">
      <c r="A158" s="253">
        <v>17</v>
      </c>
      <c r="B158" s="254" t="s">
        <v>250</v>
      </c>
      <c r="C158" s="255" t="s">
        <v>251</v>
      </c>
      <c r="D158" s="278" t="str">
        <f>VLOOKUP(B158,Attendance!$B$6:$D$385,3,0)</f>
        <v>STSO</v>
      </c>
      <c r="E158" s="278" t="s">
        <v>203</v>
      </c>
      <c r="F158" s="523">
        <v>44467</v>
      </c>
      <c r="G158" s="257">
        <f>VLOOKUP(B158,Attendance!$B$6:$G$386,6,0)</f>
        <v>31</v>
      </c>
      <c r="H158" s="258">
        <f>VLOOKUP(B$8:B$380,Attendance!$B$6:$L$386,11,0)</f>
        <v>0</v>
      </c>
      <c r="I158" s="257">
        <f t="shared" si="111"/>
        <v>31</v>
      </c>
      <c r="J158" s="258">
        <f t="shared" si="112"/>
        <v>1387.0967741935483</v>
      </c>
      <c r="K158" s="192">
        <v>43000</v>
      </c>
      <c r="L158" s="72">
        <f t="shared" si="113"/>
        <v>25800</v>
      </c>
      <c r="M158" s="72">
        <f t="shared" si="114"/>
        <v>12900</v>
      </c>
      <c r="N158" s="72">
        <f t="shared" si="115"/>
        <v>2580</v>
      </c>
      <c r="O158" s="72">
        <f t="shared" si="116"/>
        <v>1720</v>
      </c>
      <c r="P158" s="259">
        <v>0</v>
      </c>
      <c r="Q158" s="260">
        <f t="shared" si="122"/>
        <v>43000</v>
      </c>
      <c r="R158" s="260">
        <f t="shared" si="117"/>
        <v>43000</v>
      </c>
      <c r="S158" s="261"/>
      <c r="T158" s="261"/>
      <c r="U158" s="809"/>
      <c r="V158" s="263">
        <f t="shared" si="118"/>
        <v>43000</v>
      </c>
      <c r="W158" s="72">
        <v>417</v>
      </c>
      <c r="X158" s="261">
        <f>IFERROR(VLOOKUP(B158,'Lunch bill'!$B$6:$H$30,7,0),0)</f>
        <v>0</v>
      </c>
      <c r="Y158" s="261">
        <f t="shared" si="119"/>
        <v>1290</v>
      </c>
      <c r="Z158" s="261">
        <f>IFERROR(VLOOKUP(B158,'55 Bike '!$B$7:$J$139,9,0),0)</f>
        <v>0</v>
      </c>
      <c r="AA158" s="261"/>
      <c r="AB158" s="73">
        <f t="shared" si="120"/>
        <v>1707</v>
      </c>
      <c r="AC158" s="73">
        <f t="shared" si="121"/>
        <v>41293</v>
      </c>
      <c r="AD158" s="264" t="s">
        <v>23</v>
      </c>
      <c r="AE158" s="256" t="s">
        <v>252</v>
      </c>
      <c r="AF158" s="838"/>
      <c r="AG158" s="205"/>
      <c r="AH158" s="383"/>
      <c r="AI158" s="543"/>
      <c r="AJ158" s="548"/>
      <c r="AK158" s="548"/>
      <c r="AL158" s="198"/>
      <c r="AM158" s="320"/>
      <c r="AP158" s="198"/>
    </row>
    <row r="159" spans="1:43" s="61" customFormat="1" ht="24.95" customHeight="1">
      <c r="A159" s="253">
        <v>18</v>
      </c>
      <c r="B159" s="254" t="s">
        <v>261</v>
      </c>
      <c r="C159" s="255" t="s">
        <v>262</v>
      </c>
      <c r="D159" s="278" t="str">
        <f>VLOOKUP(B159,Attendance!$B$6:$D$385,3,0)</f>
        <v>AGM</v>
      </c>
      <c r="E159" s="278" t="s">
        <v>535</v>
      </c>
      <c r="F159" s="523">
        <v>44343</v>
      </c>
      <c r="G159" s="257">
        <f>VLOOKUP(B159,Attendance!$B$6:$G$386,6,0)</f>
        <v>31</v>
      </c>
      <c r="H159" s="258">
        <f>VLOOKUP(B$8:B$380,Attendance!$B$6:$L$386,11,0)</f>
        <v>0</v>
      </c>
      <c r="I159" s="257">
        <f t="shared" si="111"/>
        <v>31</v>
      </c>
      <c r="J159" s="258">
        <f t="shared" si="112"/>
        <v>2903.2258064516127</v>
      </c>
      <c r="K159" s="72">
        <v>90000</v>
      </c>
      <c r="L159" s="72">
        <f t="shared" si="113"/>
        <v>54000</v>
      </c>
      <c r="M159" s="72">
        <f t="shared" si="114"/>
        <v>27000</v>
      </c>
      <c r="N159" s="72">
        <f t="shared" si="115"/>
        <v>5400</v>
      </c>
      <c r="O159" s="72">
        <f t="shared" si="116"/>
        <v>3600</v>
      </c>
      <c r="P159" s="259">
        <v>0</v>
      </c>
      <c r="Q159" s="260">
        <f t="shared" si="122"/>
        <v>90000</v>
      </c>
      <c r="R159" s="260">
        <f>ROUND(I159*J159,)</f>
        <v>90000</v>
      </c>
      <c r="S159" s="261"/>
      <c r="T159" s="261"/>
      <c r="U159" s="809"/>
      <c r="V159" s="263">
        <f t="shared" si="118"/>
        <v>90000</v>
      </c>
      <c r="W159" s="72">
        <v>1287</v>
      </c>
      <c r="X159" s="261">
        <f>IFERROR(VLOOKUP(B159,'Lunch bill'!$B$6:$H$30,7,0),0)</f>
        <v>0</v>
      </c>
      <c r="Y159" s="261">
        <f t="shared" si="119"/>
        <v>2700</v>
      </c>
      <c r="Z159" s="261">
        <f>IFERROR(VLOOKUP(B159,'55 Bike '!$B$7:$J$139,9,0),0)</f>
        <v>0</v>
      </c>
      <c r="AA159" s="261"/>
      <c r="AB159" s="73">
        <f t="shared" si="120"/>
        <v>3987</v>
      </c>
      <c r="AC159" s="73">
        <f t="shared" si="121"/>
        <v>86013</v>
      </c>
      <c r="AD159" s="264" t="s">
        <v>23</v>
      </c>
      <c r="AE159" s="256" t="s">
        <v>263</v>
      </c>
      <c r="AF159" s="838"/>
      <c r="AG159" s="205"/>
      <c r="AH159" s="383"/>
      <c r="AI159" s="543"/>
      <c r="AJ159" s="548"/>
      <c r="AK159" s="548"/>
      <c r="AL159" s="198"/>
      <c r="AM159" s="320"/>
      <c r="AP159" s="198"/>
    </row>
    <row r="160" spans="1:43" s="47" customFormat="1" ht="33">
      <c r="A160" s="253">
        <v>19</v>
      </c>
      <c r="B160" s="254" t="s">
        <v>296</v>
      </c>
      <c r="C160" s="255" t="s">
        <v>297</v>
      </c>
      <c r="D160" s="278" t="str">
        <f>VLOOKUP(B160,Attendance!$B$6:$D$385,3,0)</f>
        <v>DRM (Sales &amp; Recovery)</v>
      </c>
      <c r="E160" s="278" t="s">
        <v>292</v>
      </c>
      <c r="F160" s="523">
        <v>44714</v>
      </c>
      <c r="G160" s="257">
        <f>VLOOKUP(B160,Attendance!$B$6:$G$386,6,0)</f>
        <v>31</v>
      </c>
      <c r="H160" s="258">
        <f>VLOOKUP(B$8:B$380,Attendance!$B$6:$L$386,11,0)</f>
        <v>0</v>
      </c>
      <c r="I160" s="257">
        <f t="shared" si="111"/>
        <v>31</v>
      </c>
      <c r="J160" s="258">
        <f t="shared" si="112"/>
        <v>1538.7096774193549</v>
      </c>
      <c r="K160" s="192">
        <v>47700</v>
      </c>
      <c r="L160" s="72">
        <f t="shared" si="113"/>
        <v>28620</v>
      </c>
      <c r="M160" s="72">
        <f t="shared" si="114"/>
        <v>14310</v>
      </c>
      <c r="N160" s="72">
        <f t="shared" si="115"/>
        <v>2862</v>
      </c>
      <c r="O160" s="72">
        <f t="shared" si="116"/>
        <v>1908</v>
      </c>
      <c r="P160" s="259"/>
      <c r="Q160" s="260">
        <f t="shared" si="122"/>
        <v>47700</v>
      </c>
      <c r="R160" s="260">
        <f t="shared" si="117"/>
        <v>47700</v>
      </c>
      <c r="S160" s="261"/>
      <c r="T160" s="261"/>
      <c r="U160" s="809"/>
      <c r="V160" s="263">
        <f t="shared" si="118"/>
        <v>47700</v>
      </c>
      <c r="W160" s="72">
        <v>417</v>
      </c>
      <c r="X160" s="261">
        <f>IFERROR(VLOOKUP(B160,'Lunch bill'!$B$6:$H$30,7,0),0)</f>
        <v>0</v>
      </c>
      <c r="Y160" s="261">
        <f t="shared" si="119"/>
        <v>1431</v>
      </c>
      <c r="Z160" s="261">
        <f>IFERROR(VLOOKUP(B160,'55 Bike '!$B$7:$J$139,9,0),0)</f>
        <v>0</v>
      </c>
      <c r="AA160" s="261"/>
      <c r="AB160" s="73">
        <f t="shared" si="120"/>
        <v>1848</v>
      </c>
      <c r="AC160" s="73">
        <f t="shared" si="121"/>
        <v>45852</v>
      </c>
      <c r="AD160" s="264" t="s">
        <v>23</v>
      </c>
      <c r="AE160" s="256" t="s">
        <v>298</v>
      </c>
      <c r="AF160" s="838"/>
      <c r="AG160" s="205"/>
      <c r="AH160" s="383"/>
      <c r="AI160" s="543"/>
      <c r="AJ160" s="548"/>
      <c r="AK160" s="548"/>
      <c r="AL160" s="198"/>
      <c r="AM160" s="320"/>
      <c r="AN160" s="61"/>
      <c r="AO160" s="61"/>
      <c r="AP160" s="198"/>
      <c r="AQ160" s="61"/>
    </row>
    <row r="161" spans="1:43" s="47" customFormat="1" ht="24.95" customHeight="1">
      <c r="A161" s="253">
        <v>20</v>
      </c>
      <c r="B161" s="254" t="s">
        <v>279</v>
      </c>
      <c r="C161" s="255" t="s">
        <v>280</v>
      </c>
      <c r="D161" s="278" t="str">
        <f>VLOOKUP(B161,Attendance!$B$6:$D$385,3,0)</f>
        <v>Sr. Territory Manager</v>
      </c>
      <c r="E161" s="278" t="s">
        <v>203</v>
      </c>
      <c r="F161" s="523">
        <v>44874</v>
      </c>
      <c r="G161" s="257">
        <f>VLOOKUP(B161,Attendance!$B$6:$G$386,6,0)</f>
        <v>31</v>
      </c>
      <c r="H161" s="258">
        <f>VLOOKUP(B$8:B$380,Attendance!$B$6:$L$386,11,0)</f>
        <v>0</v>
      </c>
      <c r="I161" s="257">
        <f t="shared" si="111"/>
        <v>31</v>
      </c>
      <c r="J161" s="258">
        <f t="shared" si="112"/>
        <v>1612.9032258064517</v>
      </c>
      <c r="K161" s="72">
        <v>50000</v>
      </c>
      <c r="L161" s="72">
        <f t="shared" si="113"/>
        <v>30000</v>
      </c>
      <c r="M161" s="72">
        <f t="shared" si="114"/>
        <v>15000</v>
      </c>
      <c r="N161" s="72">
        <f t="shared" si="115"/>
        <v>3000</v>
      </c>
      <c r="O161" s="72">
        <f t="shared" si="116"/>
        <v>2000</v>
      </c>
      <c r="P161" s="259"/>
      <c r="Q161" s="260">
        <f t="shared" si="122"/>
        <v>50000</v>
      </c>
      <c r="R161" s="260">
        <f t="shared" si="117"/>
        <v>50000</v>
      </c>
      <c r="S161" s="261"/>
      <c r="T161" s="261"/>
      <c r="U161" s="809"/>
      <c r="V161" s="263">
        <f t="shared" si="118"/>
        <v>50000</v>
      </c>
      <c r="W161" s="72">
        <v>417</v>
      </c>
      <c r="X161" s="261">
        <f>IFERROR(VLOOKUP(B161,'Lunch bill'!$B$6:$H$30,7,0),0)</f>
        <v>0</v>
      </c>
      <c r="Y161" s="261">
        <f t="shared" si="119"/>
        <v>1500</v>
      </c>
      <c r="Z161" s="261">
        <f>IFERROR(VLOOKUP(B161,'55 Bike '!$B$7:$J$139,9,0),0)</f>
        <v>1058</v>
      </c>
      <c r="AA161" s="261"/>
      <c r="AB161" s="73">
        <f t="shared" si="120"/>
        <v>2975</v>
      </c>
      <c r="AC161" s="73">
        <f t="shared" si="121"/>
        <v>47025</v>
      </c>
      <c r="AD161" s="264" t="s">
        <v>23</v>
      </c>
      <c r="AE161" s="256" t="s">
        <v>281</v>
      </c>
      <c r="AF161" s="838"/>
      <c r="AG161" s="205"/>
      <c r="AH161" s="383"/>
      <c r="AI161" s="543"/>
      <c r="AJ161" s="548"/>
      <c r="AK161" s="548"/>
      <c r="AL161" s="198"/>
      <c r="AM161" s="320"/>
      <c r="AN161" s="61"/>
      <c r="AO161" s="61"/>
      <c r="AP161" s="198"/>
      <c r="AQ161" s="61"/>
    </row>
    <row r="162" spans="1:43" s="47" customFormat="1" ht="22.15" customHeight="1">
      <c r="A162" s="253">
        <v>21</v>
      </c>
      <c r="B162" s="254" t="s">
        <v>284</v>
      </c>
      <c r="C162" s="255" t="s">
        <v>285</v>
      </c>
      <c r="D162" s="278" t="str">
        <f>VLOOKUP(B162,Attendance!$B$6:$D$385,3,0)</f>
        <v>TSO</v>
      </c>
      <c r="E162" s="278" t="s">
        <v>203</v>
      </c>
      <c r="F162" s="523">
        <v>44880</v>
      </c>
      <c r="G162" s="257">
        <f>VLOOKUP(B162,Attendance!$B$6:$G$386,6,0)</f>
        <v>31</v>
      </c>
      <c r="H162" s="258">
        <f>VLOOKUP(B$8:B$380,Attendance!$B$6:$L$386,11,0)</f>
        <v>2</v>
      </c>
      <c r="I162" s="257">
        <f t="shared" si="111"/>
        <v>29</v>
      </c>
      <c r="J162" s="258">
        <f t="shared" si="112"/>
        <v>693.54838709677415</v>
      </c>
      <c r="K162" s="192">
        <v>21500</v>
      </c>
      <c r="L162" s="72">
        <f t="shared" si="113"/>
        <v>12900</v>
      </c>
      <c r="M162" s="72">
        <f t="shared" si="114"/>
        <v>6450</v>
      </c>
      <c r="N162" s="72">
        <f t="shared" si="115"/>
        <v>1290</v>
      </c>
      <c r="O162" s="72">
        <f t="shared" si="116"/>
        <v>860</v>
      </c>
      <c r="P162" s="259"/>
      <c r="Q162" s="260">
        <f t="shared" si="122"/>
        <v>21500</v>
      </c>
      <c r="R162" s="260">
        <f t="shared" si="117"/>
        <v>20113</v>
      </c>
      <c r="S162" s="261"/>
      <c r="T162" s="261"/>
      <c r="U162" s="809"/>
      <c r="V162" s="263">
        <f t="shared" si="118"/>
        <v>20113</v>
      </c>
      <c r="W162" s="72"/>
      <c r="X162" s="261">
        <f>IFERROR(VLOOKUP(B162,'Lunch bill'!$B$6:$H$30,7,0),0)</f>
        <v>0</v>
      </c>
      <c r="Y162" s="261">
        <f t="shared" si="119"/>
        <v>645</v>
      </c>
      <c r="Z162" s="261">
        <f>IFERROR(VLOOKUP(B162,'55 Bike '!$B$7:$J$139,9,0),0)</f>
        <v>0</v>
      </c>
      <c r="AA162" s="261"/>
      <c r="AB162" s="73">
        <f t="shared" si="120"/>
        <v>645</v>
      </c>
      <c r="AC162" s="73">
        <f t="shared" si="121"/>
        <v>19468</v>
      </c>
      <c r="AD162" s="264" t="s">
        <v>23</v>
      </c>
      <c r="AE162" s="256" t="s">
        <v>286</v>
      </c>
      <c r="AF162" s="838"/>
      <c r="AG162" s="205"/>
      <c r="AH162" s="383"/>
      <c r="AI162" s="543"/>
      <c r="AJ162" s="548"/>
      <c r="AK162" s="548"/>
      <c r="AL162" s="198"/>
      <c r="AM162" s="320"/>
      <c r="AN162" s="61"/>
      <c r="AO162" s="61"/>
      <c r="AP162" s="198"/>
      <c r="AQ162" s="61"/>
    </row>
    <row r="163" spans="1:43" s="47" customFormat="1" ht="33" customHeight="1">
      <c r="A163" s="253">
        <v>22</v>
      </c>
      <c r="B163" s="254" t="s">
        <v>1090</v>
      </c>
      <c r="C163" s="255" t="s">
        <v>1091</v>
      </c>
      <c r="D163" s="278" t="str">
        <f>VLOOKUP(B163,Attendance!$B$6:$D$385,3,0)</f>
        <v>Asst. Regional Manager</v>
      </c>
      <c r="E163" s="278" t="s">
        <v>203</v>
      </c>
      <c r="F163" s="523">
        <v>45250</v>
      </c>
      <c r="G163" s="257">
        <f>VLOOKUP(B163,Attendance!$B$6:$G$386,6,0)</f>
        <v>31</v>
      </c>
      <c r="H163" s="258">
        <f>VLOOKUP(B$8:B$380,Attendance!$B$6:$L$386,11,0)</f>
        <v>0</v>
      </c>
      <c r="I163" s="257">
        <f t="shared" si="111"/>
        <v>31</v>
      </c>
      <c r="J163" s="258">
        <f t="shared" si="112"/>
        <v>1451.6129032258063</v>
      </c>
      <c r="K163" s="72">
        <v>45000</v>
      </c>
      <c r="L163" s="72">
        <f t="shared" si="113"/>
        <v>27000</v>
      </c>
      <c r="M163" s="72">
        <f t="shared" si="114"/>
        <v>13500</v>
      </c>
      <c r="N163" s="72">
        <f t="shared" si="115"/>
        <v>2700</v>
      </c>
      <c r="O163" s="72">
        <f t="shared" si="116"/>
        <v>1800</v>
      </c>
      <c r="P163" s="259"/>
      <c r="Q163" s="260">
        <f t="shared" si="122"/>
        <v>45000</v>
      </c>
      <c r="R163" s="260">
        <f t="shared" si="117"/>
        <v>45000</v>
      </c>
      <c r="S163" s="261"/>
      <c r="T163" s="261"/>
      <c r="U163" s="809"/>
      <c r="V163" s="263">
        <f t="shared" si="118"/>
        <v>45000</v>
      </c>
      <c r="W163" s="72">
        <v>417</v>
      </c>
      <c r="X163" s="261">
        <f>IFERROR(VLOOKUP(B163,'Lunch bill'!$B$6:$H$30,7,0),0)</f>
        <v>0</v>
      </c>
      <c r="Y163" s="261">
        <f t="shared" si="119"/>
        <v>1350</v>
      </c>
      <c r="Z163" s="261">
        <f>IFERROR(VLOOKUP(B163,'55 Bike '!$B$7:$J$139,9,0),0)</f>
        <v>2160</v>
      </c>
      <c r="AA163" s="261"/>
      <c r="AB163" s="73">
        <f t="shared" si="120"/>
        <v>3927</v>
      </c>
      <c r="AC163" s="73">
        <f t="shared" si="121"/>
        <v>41073</v>
      </c>
      <c r="AD163" s="264" t="s">
        <v>23</v>
      </c>
      <c r="AE163" s="256" t="s">
        <v>1106</v>
      </c>
      <c r="AF163" s="838"/>
      <c r="AG163" s="205"/>
      <c r="AH163" s="383"/>
      <c r="AI163" s="543"/>
      <c r="AJ163" s="548"/>
      <c r="AK163" s="548"/>
      <c r="AL163" s="198"/>
      <c r="AM163" s="320"/>
      <c r="AN163" s="61"/>
      <c r="AO163" s="61"/>
      <c r="AP163" s="198"/>
      <c r="AQ163" s="61"/>
    </row>
    <row r="164" spans="1:43" s="30" customFormat="1" ht="21" customHeight="1">
      <c r="A164" s="101" t="s">
        <v>67</v>
      </c>
      <c r="B164" s="102"/>
      <c r="C164" s="103"/>
      <c r="D164" s="282"/>
      <c r="E164" s="282"/>
      <c r="F164" s="526"/>
      <c r="G164" s="104"/>
      <c r="H164" s="104"/>
      <c r="I164" s="104"/>
      <c r="J164" s="104"/>
      <c r="K164" s="107">
        <f t="shared" ref="K164:AC164" si="123">SUM(K142:K163)</f>
        <v>1014700</v>
      </c>
      <c r="L164" s="107">
        <f t="shared" si="123"/>
        <v>608820</v>
      </c>
      <c r="M164" s="107">
        <f t="shared" si="123"/>
        <v>304410</v>
      </c>
      <c r="N164" s="107">
        <f t="shared" si="123"/>
        <v>60882</v>
      </c>
      <c r="O164" s="107">
        <f t="shared" si="123"/>
        <v>40588</v>
      </c>
      <c r="P164" s="107">
        <f t="shared" si="123"/>
        <v>0</v>
      </c>
      <c r="Q164" s="107">
        <f t="shared" si="123"/>
        <v>1014700</v>
      </c>
      <c r="R164" s="107">
        <f t="shared" si="123"/>
        <v>967152</v>
      </c>
      <c r="S164" s="107">
        <f t="shared" si="123"/>
        <v>4000</v>
      </c>
      <c r="T164" s="107">
        <f t="shared" si="123"/>
        <v>0</v>
      </c>
      <c r="U164" s="107">
        <f t="shared" si="123"/>
        <v>0</v>
      </c>
      <c r="V164" s="107">
        <f t="shared" si="123"/>
        <v>971152</v>
      </c>
      <c r="W164" s="107">
        <f t="shared" si="123"/>
        <v>8314.8571428571431</v>
      </c>
      <c r="X164" s="107">
        <f t="shared" si="123"/>
        <v>0</v>
      </c>
      <c r="Y164" s="107">
        <f t="shared" si="123"/>
        <v>30441</v>
      </c>
      <c r="Z164" s="107">
        <f t="shared" si="123"/>
        <v>23528</v>
      </c>
      <c r="AA164" s="107">
        <f t="shared" si="123"/>
        <v>0</v>
      </c>
      <c r="AB164" s="107">
        <f t="shared" si="123"/>
        <v>62283.857142857145</v>
      </c>
      <c r="AC164" s="107">
        <f t="shared" si="123"/>
        <v>908868</v>
      </c>
      <c r="AD164" s="114"/>
      <c r="AE164" s="113"/>
      <c r="AF164" s="838"/>
      <c r="AG164" s="199"/>
      <c r="AH164" s="383"/>
      <c r="AI164" s="543"/>
      <c r="AJ164" s="548"/>
      <c r="AK164" s="549"/>
      <c r="AL164" s="198"/>
      <c r="AM164" s="320"/>
      <c r="AN164" s="61"/>
      <c r="AO164" s="61"/>
      <c r="AP164" s="198"/>
      <c r="AQ164" s="61"/>
    </row>
    <row r="165" spans="1:43" s="47" customFormat="1" ht="24.95" customHeight="1">
      <c r="A165" s="116" t="s">
        <v>534</v>
      </c>
      <c r="B165" s="117"/>
      <c r="C165" s="117"/>
      <c r="D165" s="283"/>
      <c r="E165" s="498"/>
      <c r="F165" s="528"/>
      <c r="G165" s="117"/>
      <c r="H165" s="247"/>
      <c r="I165" s="117"/>
      <c r="J165" s="117"/>
      <c r="K165" s="117"/>
      <c r="L165" s="117"/>
      <c r="M165" s="117"/>
      <c r="N165" s="117"/>
      <c r="O165" s="117"/>
      <c r="P165" s="117"/>
      <c r="Q165" s="117"/>
      <c r="R165" s="117"/>
      <c r="S165" s="117"/>
      <c r="T165" s="117"/>
      <c r="U165" s="117"/>
      <c r="V165" s="117"/>
      <c r="W165" s="117"/>
      <c r="X165" s="117"/>
      <c r="Y165" s="247"/>
      <c r="Z165" s="117"/>
      <c r="AA165" s="117"/>
      <c r="AB165" s="117"/>
      <c r="AC165" s="117"/>
      <c r="AD165" s="117"/>
      <c r="AE165" s="118"/>
      <c r="AF165" s="838"/>
      <c r="AG165" s="90"/>
      <c r="AH165" s="383"/>
      <c r="AI165" s="543"/>
      <c r="AJ165" s="548"/>
      <c r="AK165" s="549"/>
      <c r="AL165" s="198"/>
      <c r="AM165" s="320"/>
      <c r="AN165" s="61"/>
      <c r="AO165" s="61"/>
      <c r="AP165" s="198"/>
      <c r="AQ165" s="61"/>
    </row>
    <row r="166" spans="1:43" s="61" customFormat="1" ht="33" customHeight="1">
      <c r="A166" s="253">
        <v>1</v>
      </c>
      <c r="B166" s="254" t="s">
        <v>293</v>
      </c>
      <c r="C166" s="255" t="s">
        <v>294</v>
      </c>
      <c r="D166" s="278" t="str">
        <f>VLOOKUP(B166,Attendance!$B$6:$D$385,3,0)</f>
        <v>Assistant General Manager</v>
      </c>
      <c r="E166" s="278" t="s">
        <v>292</v>
      </c>
      <c r="F166" s="523">
        <v>44652</v>
      </c>
      <c r="G166" s="257">
        <f>VLOOKUP(B166,Attendance!$B$6:$G$386,6,0)</f>
        <v>31</v>
      </c>
      <c r="H166" s="258">
        <f>VLOOKUP(B$8:B$380,Attendance!$B$6:$L$386,11,0)</f>
        <v>0</v>
      </c>
      <c r="I166" s="257">
        <f t="shared" ref="I166:I172" si="124">G166-H166</f>
        <v>31</v>
      </c>
      <c r="J166" s="258">
        <f t="shared" ref="J166:J172" si="125">Q166/G166</f>
        <v>2903.2258064516127</v>
      </c>
      <c r="K166" s="72">
        <v>90000</v>
      </c>
      <c r="L166" s="72">
        <f t="shared" ref="L166:L172" si="126">K166*60%</f>
        <v>54000</v>
      </c>
      <c r="M166" s="72">
        <f t="shared" ref="M166:M172" si="127">K166*30%</f>
        <v>27000</v>
      </c>
      <c r="N166" s="72">
        <f t="shared" ref="N166:N172" si="128">K166*6%</f>
        <v>5400</v>
      </c>
      <c r="O166" s="72">
        <f t="shared" ref="O166:O172" si="129">K166*4%</f>
        <v>3600</v>
      </c>
      <c r="P166" s="259">
        <v>0</v>
      </c>
      <c r="Q166" s="260">
        <f t="shared" ref="Q166:Q172" si="130">SUM(L166:P166)</f>
        <v>90000</v>
      </c>
      <c r="R166" s="260">
        <f t="shared" ref="R166:R172" si="131">ROUND(I166*J166,)</f>
        <v>90000</v>
      </c>
      <c r="S166" s="261"/>
      <c r="T166" s="261"/>
      <c r="U166" s="809"/>
      <c r="V166" s="263">
        <f t="shared" ref="V166:V172" si="132">SUM(R166:U166)</f>
        <v>90000</v>
      </c>
      <c r="W166" s="72">
        <v>1287</v>
      </c>
      <c r="X166" s="261">
        <f>IFERROR(VLOOKUP(B166,'Lunch bill'!$B$6:$H$30,7,0),0)</f>
        <v>0</v>
      </c>
      <c r="Y166" s="261">
        <f t="shared" ref="Y166:Y172" si="133">ROUND(IF($AH$4-F166&gt;=360,L166*5%,0),0)</f>
        <v>2700</v>
      </c>
      <c r="Z166" s="261">
        <f>IFERROR(VLOOKUP(B166,'55 Bike '!$B$7:$J$139,9,0),0)</f>
        <v>0</v>
      </c>
      <c r="AA166" s="261"/>
      <c r="AB166" s="73">
        <f t="shared" ref="AB166:AB172" si="134">SUM(W166:AA166)</f>
        <v>3987</v>
      </c>
      <c r="AC166" s="73">
        <f t="shared" ref="AC166:AC172" si="135">ROUND(V166-AB166,0)</f>
        <v>86013</v>
      </c>
      <c r="AD166" s="264" t="s">
        <v>23</v>
      </c>
      <c r="AE166" s="256" t="s">
        <v>295</v>
      </c>
      <c r="AF166" s="838"/>
      <c r="AG166" s="205"/>
      <c r="AH166" s="383"/>
      <c r="AI166" s="543"/>
      <c r="AJ166" s="548"/>
      <c r="AK166" s="548"/>
      <c r="AL166" s="198"/>
      <c r="AM166" s="320"/>
      <c r="AP166" s="198"/>
    </row>
    <row r="167" spans="1:43" s="61" customFormat="1" ht="33">
      <c r="A167" s="253">
        <v>2</v>
      </c>
      <c r="B167" s="254" t="s">
        <v>299</v>
      </c>
      <c r="C167" s="255" t="s">
        <v>300</v>
      </c>
      <c r="D167" s="278" t="str">
        <f>VLOOKUP(B167,Attendance!$B$6:$D$385,3,0)</f>
        <v>Deputy Regional Manager</v>
      </c>
      <c r="E167" s="278" t="s">
        <v>292</v>
      </c>
      <c r="F167" s="523">
        <v>44716</v>
      </c>
      <c r="G167" s="257">
        <f>VLOOKUP(B167,Attendance!$B$6:$G$386,6,0)</f>
        <v>31</v>
      </c>
      <c r="H167" s="258">
        <f>VLOOKUP(B$8:B$380,Attendance!$B$6:$L$386,11,0)</f>
        <v>0</v>
      </c>
      <c r="I167" s="257">
        <f t="shared" si="124"/>
        <v>31</v>
      </c>
      <c r="J167" s="258">
        <f t="shared" si="125"/>
        <v>1870.9677419354839</v>
      </c>
      <c r="K167" s="192">
        <v>58000</v>
      </c>
      <c r="L167" s="72">
        <f t="shared" si="126"/>
        <v>34800</v>
      </c>
      <c r="M167" s="72">
        <f t="shared" si="127"/>
        <v>17400</v>
      </c>
      <c r="N167" s="72">
        <f t="shared" si="128"/>
        <v>3480</v>
      </c>
      <c r="O167" s="72">
        <f t="shared" si="129"/>
        <v>2320</v>
      </c>
      <c r="P167" s="259"/>
      <c r="Q167" s="260">
        <f t="shared" si="130"/>
        <v>58000</v>
      </c>
      <c r="R167" s="260">
        <f t="shared" si="131"/>
        <v>58000</v>
      </c>
      <c r="S167" s="261"/>
      <c r="T167" s="261"/>
      <c r="U167" s="809"/>
      <c r="V167" s="263">
        <f t="shared" si="132"/>
        <v>58000</v>
      </c>
      <c r="W167" s="72">
        <v>417</v>
      </c>
      <c r="X167" s="261">
        <f>IFERROR(VLOOKUP(B167,'Lunch bill'!$B$6:$H$30,7,0),0)</f>
        <v>0</v>
      </c>
      <c r="Y167" s="261">
        <f t="shared" si="133"/>
        <v>1740</v>
      </c>
      <c r="Z167" s="261">
        <f>IFERROR(VLOOKUP(B167,'55 Bike '!$B$7:$J$139,9,0),0)</f>
        <v>0</v>
      </c>
      <c r="AA167" s="261"/>
      <c r="AB167" s="73">
        <f t="shared" si="134"/>
        <v>2157</v>
      </c>
      <c r="AC167" s="73">
        <f t="shared" si="135"/>
        <v>55843</v>
      </c>
      <c r="AD167" s="264" t="s">
        <v>23</v>
      </c>
      <c r="AE167" s="256" t="s">
        <v>301</v>
      </c>
      <c r="AF167" s="838"/>
      <c r="AG167" s="205"/>
      <c r="AH167" s="383"/>
      <c r="AI167" s="543"/>
      <c r="AJ167" s="548"/>
      <c r="AK167" s="548"/>
      <c r="AL167" s="198"/>
      <c r="AM167" s="320"/>
      <c r="AP167" s="198"/>
    </row>
    <row r="168" spans="1:43" s="47" customFormat="1" ht="25.5" customHeight="1">
      <c r="A168" s="253">
        <v>3</v>
      </c>
      <c r="B168" s="254" t="s">
        <v>302</v>
      </c>
      <c r="C168" s="255" t="s">
        <v>303</v>
      </c>
      <c r="D168" s="278" t="str">
        <f>VLOOKUP(B168,Attendance!$B$6:$D$385,3,0)</f>
        <v>DGM (CRRM)</v>
      </c>
      <c r="E168" s="278" t="s">
        <v>292</v>
      </c>
      <c r="F168" s="523">
        <v>40238</v>
      </c>
      <c r="G168" s="257">
        <f>VLOOKUP(B168,Attendance!$B$6:$G$386,6,0)</f>
        <v>31</v>
      </c>
      <c r="H168" s="258">
        <f>VLOOKUP(B$8:B$380,Attendance!$B$6:$L$386,11,0)</f>
        <v>0</v>
      </c>
      <c r="I168" s="257">
        <f t="shared" si="124"/>
        <v>31</v>
      </c>
      <c r="J168" s="258">
        <f t="shared" si="125"/>
        <v>2995.9677419354839</v>
      </c>
      <c r="K168" s="72">
        <v>92875</v>
      </c>
      <c r="L168" s="72">
        <f t="shared" si="126"/>
        <v>55725</v>
      </c>
      <c r="M168" s="72">
        <f t="shared" si="127"/>
        <v>27862.5</v>
      </c>
      <c r="N168" s="72">
        <f t="shared" si="128"/>
        <v>5572.5</v>
      </c>
      <c r="O168" s="72">
        <f t="shared" si="129"/>
        <v>3715</v>
      </c>
      <c r="P168" s="259"/>
      <c r="Q168" s="260">
        <f t="shared" si="130"/>
        <v>92875</v>
      </c>
      <c r="R168" s="260">
        <f t="shared" si="131"/>
        <v>92875</v>
      </c>
      <c r="S168" s="261"/>
      <c r="T168" s="261"/>
      <c r="U168" s="809"/>
      <c r="V168" s="263">
        <f t="shared" si="132"/>
        <v>92875</v>
      </c>
      <c r="W168" s="72">
        <v>1434</v>
      </c>
      <c r="X168" s="261">
        <f>IFERROR(VLOOKUP(B168,'Lunch bill'!$B$6:$H$30,7,0),0)</f>
        <v>0</v>
      </c>
      <c r="Y168" s="261">
        <f t="shared" si="133"/>
        <v>2786</v>
      </c>
      <c r="Z168" s="261">
        <f>IFERROR(VLOOKUP(B168,'55 Bike '!$B$7:$J$139,9,0),0)</f>
        <v>0</v>
      </c>
      <c r="AA168" s="261">
        <v>25000</v>
      </c>
      <c r="AB168" s="73">
        <f t="shared" si="134"/>
        <v>29220</v>
      </c>
      <c r="AC168" s="73">
        <f t="shared" si="135"/>
        <v>63655</v>
      </c>
      <c r="AD168" s="264" t="s">
        <v>23</v>
      </c>
      <c r="AE168" s="256" t="s">
        <v>304</v>
      </c>
      <c r="AF168" s="838"/>
      <c r="AG168" s="205"/>
      <c r="AH168" s="383"/>
      <c r="AI168" s="543"/>
      <c r="AJ168" s="564"/>
      <c r="AK168" s="564"/>
      <c r="AL168" s="183"/>
      <c r="AM168" s="319"/>
      <c r="AN168" s="61"/>
      <c r="AO168" s="61"/>
      <c r="AP168" s="198"/>
      <c r="AQ168" s="61"/>
    </row>
    <row r="169" spans="1:43" s="61" customFormat="1" ht="33" customHeight="1">
      <c r="A169" s="253">
        <v>4</v>
      </c>
      <c r="B169" s="254" t="s">
        <v>1081</v>
      </c>
      <c r="C169" s="255" t="s">
        <v>1082</v>
      </c>
      <c r="D169" s="278" t="str">
        <f>VLOOKUP(B169,Attendance!$B$6:$D$385,3,0)</f>
        <v>Territory Manager</v>
      </c>
      <c r="E169" s="278" t="s">
        <v>292</v>
      </c>
      <c r="F169" s="523">
        <v>45241</v>
      </c>
      <c r="G169" s="257">
        <f>VLOOKUP(B169,Attendance!$B$6:$G$386,6,0)</f>
        <v>31</v>
      </c>
      <c r="H169" s="258">
        <f>VLOOKUP(B$8:B$380,Attendance!$B$6:$L$386,11,0)</f>
        <v>0</v>
      </c>
      <c r="I169" s="257">
        <f t="shared" si="124"/>
        <v>31</v>
      </c>
      <c r="J169" s="258">
        <f t="shared" si="125"/>
        <v>1225.8064516129032</v>
      </c>
      <c r="K169" s="72">
        <v>38000</v>
      </c>
      <c r="L169" s="72">
        <f t="shared" si="126"/>
        <v>22800</v>
      </c>
      <c r="M169" s="72">
        <f t="shared" si="127"/>
        <v>11400</v>
      </c>
      <c r="N169" s="72">
        <f t="shared" si="128"/>
        <v>2280</v>
      </c>
      <c r="O169" s="72">
        <f t="shared" si="129"/>
        <v>1520</v>
      </c>
      <c r="P169" s="259"/>
      <c r="Q169" s="260">
        <f t="shared" si="130"/>
        <v>38000</v>
      </c>
      <c r="R169" s="260">
        <f>ROUND(I169*J169,)</f>
        <v>38000</v>
      </c>
      <c r="S169" s="261"/>
      <c r="T169" s="261"/>
      <c r="U169" s="809"/>
      <c r="V169" s="263">
        <f t="shared" si="132"/>
        <v>38000</v>
      </c>
      <c r="W169" s="72"/>
      <c r="X169" s="261">
        <f>IFERROR(VLOOKUP(B169,'Lunch bill'!$B$6:$H$30,7,0),0)</f>
        <v>0</v>
      </c>
      <c r="Y169" s="261">
        <f t="shared" si="133"/>
        <v>1140</v>
      </c>
      <c r="Z169" s="261">
        <f>IFERROR(VLOOKUP(B169,'55 Bike '!$B$7:$J$139,9,0),0)</f>
        <v>2175</v>
      </c>
      <c r="AA169" s="261"/>
      <c r="AB169" s="73">
        <f t="shared" si="134"/>
        <v>3315</v>
      </c>
      <c r="AC169" s="73">
        <f t="shared" si="135"/>
        <v>34685</v>
      </c>
      <c r="AD169" s="264" t="s">
        <v>23</v>
      </c>
      <c r="AE169" s="256" t="s">
        <v>1105</v>
      </c>
      <c r="AF169" s="838"/>
      <c r="AG169" s="205"/>
      <c r="AH169" s="383"/>
      <c r="AI169" s="543"/>
      <c r="AJ169" s="548"/>
      <c r="AK169" s="548"/>
      <c r="AL169" s="198"/>
      <c r="AM169" s="320"/>
      <c r="AP169" s="198"/>
    </row>
    <row r="170" spans="1:43" s="61" customFormat="1" ht="33" customHeight="1">
      <c r="A170" s="253">
        <v>5</v>
      </c>
      <c r="B170" s="254" t="s">
        <v>1202</v>
      </c>
      <c r="C170" s="255" t="s">
        <v>912</v>
      </c>
      <c r="D170" s="278" t="str">
        <f>VLOOKUP(B170,Attendance!$B$6:$D$385,3,0)</f>
        <v>Sr. Manager</v>
      </c>
      <c r="E170" s="278" t="s">
        <v>292</v>
      </c>
      <c r="F170" s="523">
        <v>45353</v>
      </c>
      <c r="G170" s="257">
        <f>VLOOKUP(B170,Attendance!$B$6:$G$386,6,0)</f>
        <v>31</v>
      </c>
      <c r="H170" s="258">
        <f>VLOOKUP(B$8:B$380,Attendance!$B$6:$L$386,11,0)</f>
        <v>0</v>
      </c>
      <c r="I170" s="257">
        <f t="shared" si="124"/>
        <v>31</v>
      </c>
      <c r="J170" s="258">
        <f t="shared" si="125"/>
        <v>1612.9032258064517</v>
      </c>
      <c r="K170" s="72">
        <v>50000</v>
      </c>
      <c r="L170" s="72">
        <f t="shared" si="126"/>
        <v>30000</v>
      </c>
      <c r="M170" s="72">
        <f t="shared" si="127"/>
        <v>15000</v>
      </c>
      <c r="N170" s="72">
        <f t="shared" si="128"/>
        <v>3000</v>
      </c>
      <c r="O170" s="72">
        <f t="shared" si="129"/>
        <v>2000</v>
      </c>
      <c r="P170" s="259"/>
      <c r="Q170" s="260">
        <f t="shared" si="130"/>
        <v>50000</v>
      </c>
      <c r="R170" s="260">
        <f>ROUND(I170*J170,)</f>
        <v>50000</v>
      </c>
      <c r="S170" s="261"/>
      <c r="T170" s="261"/>
      <c r="U170" s="809"/>
      <c r="V170" s="263">
        <f t="shared" si="132"/>
        <v>50000</v>
      </c>
      <c r="W170" s="72">
        <v>417</v>
      </c>
      <c r="X170" s="261">
        <f>IFERROR(VLOOKUP(B170,'Lunch bill'!$B$6:$H$30,7,0),0)</f>
        <v>0</v>
      </c>
      <c r="Y170" s="261">
        <f t="shared" si="133"/>
        <v>0</v>
      </c>
      <c r="Z170" s="261">
        <f>IFERROR(VLOOKUP(B170,'55 Bike '!$B$7:$J$139,9,0),0)</f>
        <v>0</v>
      </c>
      <c r="AA170" s="261"/>
      <c r="AB170" s="73">
        <f t="shared" si="134"/>
        <v>417</v>
      </c>
      <c r="AC170" s="73">
        <f t="shared" si="135"/>
        <v>49583</v>
      </c>
      <c r="AD170" s="264" t="s">
        <v>23</v>
      </c>
      <c r="AE170" s="256" t="s">
        <v>1252</v>
      </c>
      <c r="AF170" s="838"/>
      <c r="AG170" s="205"/>
      <c r="AH170" s="383"/>
      <c r="AI170" s="543"/>
      <c r="AJ170" s="548"/>
      <c r="AK170" s="548"/>
      <c r="AL170" s="198"/>
      <c r="AM170" s="320"/>
      <c r="AP170" s="198"/>
    </row>
    <row r="171" spans="1:43" s="61" customFormat="1" ht="33" customHeight="1">
      <c r="A171" s="253">
        <v>6</v>
      </c>
      <c r="B171" s="254" t="s">
        <v>1225</v>
      </c>
      <c r="C171" s="255" t="s">
        <v>1226</v>
      </c>
      <c r="D171" s="278" t="str">
        <f>VLOOKUP(B171,Attendance!$B$6:$D$385,3,0)</f>
        <v>Sr. Recovery Officer</v>
      </c>
      <c r="E171" s="278" t="s">
        <v>292</v>
      </c>
      <c r="F171" s="523">
        <v>45367</v>
      </c>
      <c r="G171" s="257">
        <f>VLOOKUP(B171,Attendance!$B$6:$G$386,6,0)</f>
        <v>31</v>
      </c>
      <c r="H171" s="258">
        <f>VLOOKUP(B$8:B$380,Attendance!$B$6:$L$386,11,0)</f>
        <v>0</v>
      </c>
      <c r="I171" s="257">
        <f t="shared" si="124"/>
        <v>31</v>
      </c>
      <c r="J171" s="258">
        <f t="shared" si="125"/>
        <v>903.22580645161293</v>
      </c>
      <c r="K171" s="72">
        <v>28000</v>
      </c>
      <c r="L171" s="72">
        <f t="shared" si="126"/>
        <v>16800</v>
      </c>
      <c r="M171" s="72">
        <f t="shared" si="127"/>
        <v>8400</v>
      </c>
      <c r="N171" s="72">
        <f t="shared" si="128"/>
        <v>1680</v>
      </c>
      <c r="O171" s="72">
        <f t="shared" si="129"/>
        <v>1120</v>
      </c>
      <c r="P171" s="259"/>
      <c r="Q171" s="260">
        <f t="shared" si="130"/>
        <v>28000</v>
      </c>
      <c r="R171" s="260">
        <f>ROUND(I171*J171,)</f>
        <v>28000</v>
      </c>
      <c r="S171" s="261"/>
      <c r="T171" s="261"/>
      <c r="U171" s="809"/>
      <c r="V171" s="263">
        <f t="shared" si="132"/>
        <v>28000</v>
      </c>
      <c r="W171" s="72"/>
      <c r="X171" s="261">
        <f>IFERROR(VLOOKUP(B171,'Lunch bill'!$B$6:$H$30,7,0),0)</f>
        <v>0</v>
      </c>
      <c r="Y171" s="261">
        <f t="shared" si="133"/>
        <v>0</v>
      </c>
      <c r="Z171" s="261">
        <f>IFERROR(VLOOKUP(B171,'55 Bike '!$B$7:$J$139,9,0),0)</f>
        <v>0</v>
      </c>
      <c r="AA171" s="261"/>
      <c r="AB171" s="73">
        <f t="shared" si="134"/>
        <v>0</v>
      </c>
      <c r="AC171" s="73">
        <f t="shared" si="135"/>
        <v>28000</v>
      </c>
      <c r="AD171" s="264" t="s">
        <v>23</v>
      </c>
      <c r="AE171" s="256" t="s">
        <v>1331</v>
      </c>
      <c r="AF171" s="838"/>
      <c r="AG171" s="205"/>
      <c r="AH171" s="383"/>
      <c r="AI171" s="543"/>
      <c r="AJ171" s="548"/>
      <c r="AK171" s="548"/>
      <c r="AL171" s="198"/>
      <c r="AM171" s="320"/>
      <c r="AP171" s="198"/>
    </row>
    <row r="172" spans="1:43" s="61" customFormat="1" ht="33" customHeight="1">
      <c r="A172" s="253">
        <v>7</v>
      </c>
      <c r="B172" s="254" t="s">
        <v>1279</v>
      </c>
      <c r="C172" s="255" t="s">
        <v>1280</v>
      </c>
      <c r="D172" s="278" t="str">
        <f>VLOOKUP(B172,Attendance!$B$6:$D$385,3,0)</f>
        <v>Sr. Recovery Officer</v>
      </c>
      <c r="E172" s="278" t="s">
        <v>292</v>
      </c>
      <c r="F172" s="523">
        <v>45384</v>
      </c>
      <c r="G172" s="257">
        <f>VLOOKUP(B172,Attendance!$B$6:$G$386,6,0)</f>
        <v>31</v>
      </c>
      <c r="H172" s="258">
        <f>VLOOKUP(B$8:B$380,Attendance!$B$6:$L$386,11,0)</f>
        <v>0</v>
      </c>
      <c r="I172" s="257">
        <f t="shared" si="124"/>
        <v>31</v>
      </c>
      <c r="J172" s="258">
        <f t="shared" si="125"/>
        <v>903.22580645161293</v>
      </c>
      <c r="K172" s="72">
        <v>28000</v>
      </c>
      <c r="L172" s="72">
        <f t="shared" si="126"/>
        <v>16800</v>
      </c>
      <c r="M172" s="72">
        <f t="shared" si="127"/>
        <v>8400</v>
      </c>
      <c r="N172" s="72">
        <f t="shared" si="128"/>
        <v>1680</v>
      </c>
      <c r="O172" s="72">
        <f t="shared" si="129"/>
        <v>1120</v>
      </c>
      <c r="P172" s="259"/>
      <c r="Q172" s="260">
        <f t="shared" si="130"/>
        <v>28000</v>
      </c>
      <c r="R172" s="260">
        <f t="shared" si="131"/>
        <v>28000</v>
      </c>
      <c r="S172" s="261"/>
      <c r="T172" s="261"/>
      <c r="U172" s="809"/>
      <c r="V172" s="263">
        <f t="shared" si="132"/>
        <v>28000</v>
      </c>
      <c r="W172" s="72"/>
      <c r="X172" s="261">
        <f>IFERROR(VLOOKUP(B172,'Lunch bill'!$B$6:$H$30,7,0),0)</f>
        <v>0</v>
      </c>
      <c r="Y172" s="261">
        <f t="shared" si="133"/>
        <v>0</v>
      </c>
      <c r="Z172" s="261">
        <f>IFERROR(VLOOKUP(B172,'55 Bike '!$B$7:$J$139,9,0),0)</f>
        <v>0</v>
      </c>
      <c r="AA172" s="261"/>
      <c r="AB172" s="73">
        <f t="shared" si="134"/>
        <v>0</v>
      </c>
      <c r="AC172" s="73">
        <f t="shared" si="135"/>
        <v>28000</v>
      </c>
      <c r="AD172" s="264" t="s">
        <v>23</v>
      </c>
      <c r="AE172" s="563" t="s">
        <v>1340</v>
      </c>
      <c r="AF172" s="838"/>
      <c r="AG172" s="796"/>
      <c r="AH172" s="383"/>
      <c r="AI172" s="543"/>
      <c r="AJ172" s="548"/>
      <c r="AK172" s="548"/>
      <c r="AL172" s="198"/>
      <c r="AM172" s="320"/>
      <c r="AP172" s="198"/>
    </row>
    <row r="173" spans="1:43" s="61" customFormat="1" ht="24.95" customHeight="1">
      <c r="A173" s="101" t="s">
        <v>67</v>
      </c>
      <c r="B173" s="102"/>
      <c r="C173" s="103"/>
      <c r="D173" s="282"/>
      <c r="E173" s="282"/>
      <c r="F173" s="526"/>
      <c r="G173" s="104"/>
      <c r="H173" s="104"/>
      <c r="I173" s="104"/>
      <c r="J173" s="104"/>
      <c r="K173" s="107">
        <f t="shared" ref="K173:AC173" si="136">SUM(K166:K172)</f>
        <v>384875</v>
      </c>
      <c r="L173" s="107">
        <f t="shared" si="136"/>
        <v>230925</v>
      </c>
      <c r="M173" s="107">
        <f t="shared" si="136"/>
        <v>115462.5</v>
      </c>
      <c r="N173" s="107">
        <f t="shared" si="136"/>
        <v>23092.5</v>
      </c>
      <c r="O173" s="107">
        <f t="shared" si="136"/>
        <v>15395</v>
      </c>
      <c r="P173" s="107">
        <f t="shared" si="136"/>
        <v>0</v>
      </c>
      <c r="Q173" s="107">
        <f t="shared" si="136"/>
        <v>384875</v>
      </c>
      <c r="R173" s="107">
        <f t="shared" si="136"/>
        <v>384875</v>
      </c>
      <c r="S173" s="107">
        <f t="shared" si="136"/>
        <v>0</v>
      </c>
      <c r="T173" s="107">
        <f t="shared" si="136"/>
        <v>0</v>
      </c>
      <c r="U173" s="107">
        <f t="shared" si="136"/>
        <v>0</v>
      </c>
      <c r="V173" s="107">
        <f t="shared" si="136"/>
        <v>384875</v>
      </c>
      <c r="W173" s="107">
        <f t="shared" si="136"/>
        <v>3555</v>
      </c>
      <c r="X173" s="107">
        <f t="shared" si="136"/>
        <v>0</v>
      </c>
      <c r="Y173" s="107">
        <f t="shared" si="136"/>
        <v>8366</v>
      </c>
      <c r="Z173" s="107">
        <f t="shared" si="136"/>
        <v>2175</v>
      </c>
      <c r="AA173" s="107">
        <f t="shared" si="136"/>
        <v>25000</v>
      </c>
      <c r="AB173" s="107">
        <f t="shared" si="136"/>
        <v>39096</v>
      </c>
      <c r="AC173" s="107">
        <f t="shared" si="136"/>
        <v>345779</v>
      </c>
      <c r="AD173" s="107"/>
      <c r="AE173" s="113"/>
      <c r="AF173" s="838"/>
      <c r="AG173" s="199"/>
      <c r="AH173" s="383"/>
      <c r="AI173" s="543"/>
      <c r="AJ173" s="548"/>
      <c r="AK173" s="549"/>
      <c r="AL173" s="198"/>
      <c r="AM173" s="320"/>
      <c r="AP173" s="198"/>
    </row>
    <row r="174" spans="1:43" s="47" customFormat="1" ht="24.95" customHeight="1">
      <c r="A174" s="116" t="s">
        <v>1244</v>
      </c>
      <c r="B174" s="117"/>
      <c r="C174" s="117"/>
      <c r="D174" s="283"/>
      <c r="E174" s="498"/>
      <c r="F174" s="528"/>
      <c r="G174" s="117"/>
      <c r="H174" s="247"/>
      <c r="I174" s="117"/>
      <c r="J174" s="117"/>
      <c r="K174" s="117"/>
      <c r="L174" s="117"/>
      <c r="M174" s="117"/>
      <c r="N174" s="117"/>
      <c r="O174" s="117"/>
      <c r="P174" s="117"/>
      <c r="Q174" s="117"/>
      <c r="R174" s="117"/>
      <c r="S174" s="117"/>
      <c r="T174" s="117"/>
      <c r="U174" s="117"/>
      <c r="V174" s="117"/>
      <c r="W174" s="117"/>
      <c r="X174" s="117"/>
      <c r="Y174" s="247"/>
      <c r="Z174" s="117"/>
      <c r="AA174" s="117"/>
      <c r="AB174" s="117"/>
      <c r="AC174" s="117"/>
      <c r="AD174" s="117"/>
      <c r="AE174" s="118"/>
      <c r="AF174" s="838"/>
      <c r="AG174" s="90"/>
      <c r="AH174" s="383"/>
      <c r="AI174" s="543"/>
      <c r="AJ174" s="548"/>
      <c r="AK174" s="549"/>
      <c r="AL174" s="198"/>
      <c r="AM174" s="320"/>
      <c r="AN174" s="61"/>
      <c r="AO174" s="61"/>
      <c r="AP174" s="198"/>
      <c r="AQ174" s="61"/>
    </row>
    <row r="175" spans="1:43" s="61" customFormat="1" ht="30" customHeight="1">
      <c r="A175" s="253">
        <v>1</v>
      </c>
      <c r="B175" s="254" t="s">
        <v>265</v>
      </c>
      <c r="C175" s="255" t="s">
        <v>266</v>
      </c>
      <c r="D175" s="278" t="str">
        <f>VLOOKUP(B175,Attendance!$B$6:$D$385,3,0)</f>
        <v>Management Trainee</v>
      </c>
      <c r="E175" s="278" t="s">
        <v>264</v>
      </c>
      <c r="F175" s="523">
        <v>44713</v>
      </c>
      <c r="G175" s="257">
        <f>VLOOKUP(B175,Attendance!$B$6:$G$386,6,0)</f>
        <v>31</v>
      </c>
      <c r="H175" s="258">
        <f>VLOOKUP(B$8:B$380,Attendance!$B$6:$L$386,11,0)</f>
        <v>0</v>
      </c>
      <c r="I175" s="257">
        <f t="shared" ref="I175:I181" si="137">G175-H175</f>
        <v>31</v>
      </c>
      <c r="J175" s="258">
        <f t="shared" ref="J175:J182" si="138">Q175/G175</f>
        <v>806.45161290322585</v>
      </c>
      <c r="K175" s="72">
        <v>25000</v>
      </c>
      <c r="L175" s="72">
        <f t="shared" ref="L175:L181" si="139">K175*60%</f>
        <v>15000</v>
      </c>
      <c r="M175" s="72">
        <f t="shared" ref="M175:M181" si="140">K175*30%</f>
        <v>7500</v>
      </c>
      <c r="N175" s="72">
        <f t="shared" ref="N175:N181" si="141">K175*6%</f>
        <v>1500</v>
      </c>
      <c r="O175" s="72">
        <f t="shared" ref="O175:O181" si="142">K175*4%</f>
        <v>1000</v>
      </c>
      <c r="P175" s="259">
        <v>0</v>
      </c>
      <c r="Q175" s="260">
        <f t="shared" ref="Q175:Q181" si="143">SUM(L175:P175)</f>
        <v>25000</v>
      </c>
      <c r="R175" s="260">
        <f t="shared" ref="R175:R181" si="144">ROUND(I175*J175,)</f>
        <v>25000</v>
      </c>
      <c r="S175" s="261"/>
      <c r="T175" s="261"/>
      <c r="U175" s="809"/>
      <c r="V175" s="263">
        <f t="shared" ref="V175:V182" si="145">SUM(R175:U175)</f>
        <v>25000</v>
      </c>
      <c r="W175" s="72">
        <v>0</v>
      </c>
      <c r="X175" s="261">
        <f>IFERROR(VLOOKUP(B175,'Lunch bill'!$B$6:$H$30,7,0),0)</f>
        <v>0</v>
      </c>
      <c r="Y175" s="261">
        <f t="shared" ref="Y175:Y181" si="146">ROUND(IF($AH$4-F175&gt;=360,L175*5%,0),0)</f>
        <v>750</v>
      </c>
      <c r="Z175" s="261">
        <f>IFERROR(VLOOKUP(B175,'55 Bike '!$B$7:$J$139,9,0),0)</f>
        <v>0</v>
      </c>
      <c r="AA175" s="261"/>
      <c r="AB175" s="73">
        <f t="shared" ref="AB175:AB181" si="147">SUM(W175:AA175)</f>
        <v>750</v>
      </c>
      <c r="AC175" s="193">
        <f t="shared" ref="AC175:AC182" si="148">ROUND(V175-AB175,0)</f>
        <v>24250</v>
      </c>
      <c r="AD175" s="264" t="s">
        <v>23</v>
      </c>
      <c r="AE175" s="256" t="s">
        <v>267</v>
      </c>
      <c r="AF175" s="838"/>
      <c r="AG175" s="205"/>
      <c r="AH175" s="383"/>
      <c r="AI175" s="543"/>
      <c r="AJ175" s="548"/>
      <c r="AK175" s="548"/>
      <c r="AL175" s="198"/>
      <c r="AM175" s="320"/>
      <c r="AP175" s="198"/>
    </row>
    <row r="176" spans="1:43" s="61" customFormat="1" ht="24.95" customHeight="1">
      <c r="A176" s="253">
        <v>2</v>
      </c>
      <c r="B176" s="254" t="s">
        <v>268</v>
      </c>
      <c r="C176" s="255" t="s">
        <v>269</v>
      </c>
      <c r="D176" s="278" t="str">
        <f>VLOOKUP(B176,Attendance!$B$6:$D$385,3,0)</f>
        <v>Sr. Executive</v>
      </c>
      <c r="E176" s="278" t="s">
        <v>203</v>
      </c>
      <c r="F176" s="523">
        <v>44774</v>
      </c>
      <c r="G176" s="257">
        <f>VLOOKUP(B176,Attendance!$B$6:$G$386,6,0)</f>
        <v>31</v>
      </c>
      <c r="H176" s="258">
        <f>VLOOKUP(B$8:B$380,Attendance!$B$6:$L$386,11,0)</f>
        <v>0</v>
      </c>
      <c r="I176" s="257">
        <f t="shared" si="137"/>
        <v>31</v>
      </c>
      <c r="J176" s="258">
        <f t="shared" si="138"/>
        <v>967.74193548387098</v>
      </c>
      <c r="K176" s="72">
        <v>30000</v>
      </c>
      <c r="L176" s="72">
        <f t="shared" si="139"/>
        <v>18000</v>
      </c>
      <c r="M176" s="72">
        <f t="shared" si="140"/>
        <v>9000</v>
      </c>
      <c r="N176" s="72">
        <f t="shared" si="141"/>
        <v>1800</v>
      </c>
      <c r="O176" s="72">
        <f t="shared" si="142"/>
        <v>1200</v>
      </c>
      <c r="P176" s="259"/>
      <c r="Q176" s="260">
        <f t="shared" si="143"/>
        <v>30000</v>
      </c>
      <c r="R176" s="260">
        <f t="shared" si="144"/>
        <v>30000</v>
      </c>
      <c r="S176" s="261"/>
      <c r="T176" s="261"/>
      <c r="U176" s="809"/>
      <c r="V176" s="263">
        <f t="shared" si="145"/>
        <v>30000</v>
      </c>
      <c r="W176" s="72"/>
      <c r="X176" s="261">
        <f>IFERROR(VLOOKUP(B176,'Lunch bill'!$B$6:$H$30,7,0),0)</f>
        <v>375</v>
      </c>
      <c r="Y176" s="261">
        <f t="shared" si="146"/>
        <v>900</v>
      </c>
      <c r="Z176" s="261">
        <f>IFERROR(VLOOKUP(B176,'55 Bike '!$B$7:$J$139,9,0),0)</f>
        <v>0</v>
      </c>
      <c r="AA176" s="261"/>
      <c r="AB176" s="73">
        <f t="shared" si="147"/>
        <v>1275</v>
      </c>
      <c r="AC176" s="73">
        <f t="shared" si="148"/>
        <v>28725</v>
      </c>
      <c r="AD176" s="264" t="s">
        <v>23</v>
      </c>
      <c r="AE176" s="256" t="s">
        <v>692</v>
      </c>
      <c r="AF176" s="838"/>
      <c r="AG176" s="205"/>
      <c r="AH176" s="383"/>
      <c r="AI176" s="543"/>
      <c r="AJ176" s="548"/>
      <c r="AK176" s="548"/>
      <c r="AL176" s="198"/>
      <c r="AM176" s="320"/>
      <c r="AP176" s="198"/>
    </row>
    <row r="177" spans="1:43" s="61" customFormat="1" ht="26.25" customHeight="1">
      <c r="A177" s="253">
        <v>3</v>
      </c>
      <c r="B177" s="254" t="s">
        <v>253</v>
      </c>
      <c r="C177" s="255" t="s">
        <v>254</v>
      </c>
      <c r="D177" s="278" t="str">
        <f>VLOOKUP(B177,Attendance!$B$6:$D$385,3,0)</f>
        <v>Assistant Manager</v>
      </c>
      <c r="E177" s="278" t="s">
        <v>255</v>
      </c>
      <c r="F177" s="523">
        <v>44556</v>
      </c>
      <c r="G177" s="257">
        <f>VLOOKUP(B177,Attendance!$B$6:$G$386,6,0)</f>
        <v>31</v>
      </c>
      <c r="H177" s="258">
        <f>VLOOKUP(B$8:B$380,Attendance!$B$6:$L$386,11,0)</f>
        <v>0</v>
      </c>
      <c r="I177" s="257">
        <f t="shared" si="137"/>
        <v>31</v>
      </c>
      <c r="J177" s="258">
        <f t="shared" si="138"/>
        <v>1129.0322580645161</v>
      </c>
      <c r="K177" s="72">
        <v>35000</v>
      </c>
      <c r="L177" s="72">
        <f t="shared" si="139"/>
        <v>21000</v>
      </c>
      <c r="M177" s="72">
        <f t="shared" si="140"/>
        <v>10500</v>
      </c>
      <c r="N177" s="72">
        <f t="shared" si="141"/>
        <v>2100</v>
      </c>
      <c r="O177" s="72">
        <f t="shared" si="142"/>
        <v>1400</v>
      </c>
      <c r="P177" s="259">
        <v>0</v>
      </c>
      <c r="Q177" s="260">
        <f t="shared" si="143"/>
        <v>35000</v>
      </c>
      <c r="R177" s="260">
        <f t="shared" si="144"/>
        <v>35000</v>
      </c>
      <c r="S177" s="261"/>
      <c r="T177" s="261">
        <v>0</v>
      </c>
      <c r="U177" s="809"/>
      <c r="V177" s="263">
        <f t="shared" si="145"/>
        <v>35000</v>
      </c>
      <c r="W177" s="72">
        <v>0</v>
      </c>
      <c r="X177" s="261">
        <f>IFERROR(VLOOKUP(B177,'Lunch bill'!$B$6:$H$30,7,0),0)</f>
        <v>1875</v>
      </c>
      <c r="Y177" s="261">
        <f t="shared" si="146"/>
        <v>1050</v>
      </c>
      <c r="Z177" s="261">
        <f>IFERROR(VLOOKUP(B177,'55 Bike '!$B$7:$J$139,9,0),0)</f>
        <v>0</v>
      </c>
      <c r="AA177" s="261"/>
      <c r="AB177" s="73">
        <f t="shared" si="147"/>
        <v>2925</v>
      </c>
      <c r="AC177" s="73">
        <f t="shared" si="148"/>
        <v>32075</v>
      </c>
      <c r="AD177" s="264" t="s">
        <v>23</v>
      </c>
      <c r="AE177" s="256" t="s">
        <v>256</v>
      </c>
      <c r="AF177" s="838"/>
      <c r="AG177" s="205"/>
      <c r="AH177" s="383"/>
      <c r="AI177" s="543"/>
      <c r="AJ177" s="548"/>
      <c r="AK177" s="548"/>
      <c r="AL177" s="198"/>
      <c r="AM177" s="320"/>
      <c r="AP177" s="198"/>
    </row>
    <row r="178" spans="1:43" s="47" customFormat="1" ht="24.95" customHeight="1">
      <c r="A178" s="253">
        <v>4</v>
      </c>
      <c r="B178" s="254" t="s">
        <v>543</v>
      </c>
      <c r="C178" s="255" t="s">
        <v>544</v>
      </c>
      <c r="D178" s="278" t="str">
        <f>VLOOKUP(B178,Attendance!$B$6:$D$385,3,0)</f>
        <v>Executive (S&amp;A)</v>
      </c>
      <c r="E178" s="278" t="s">
        <v>203</v>
      </c>
      <c r="F178" s="523">
        <v>44958</v>
      </c>
      <c r="G178" s="257">
        <f>VLOOKUP(B178,Attendance!$B$6:$G$386,6,0)</f>
        <v>31</v>
      </c>
      <c r="H178" s="258">
        <f>VLOOKUP(B$8:B$380,Attendance!$B$6:$L$386,11,0)</f>
        <v>0</v>
      </c>
      <c r="I178" s="257">
        <f t="shared" si="137"/>
        <v>31</v>
      </c>
      <c r="J178" s="258">
        <f t="shared" si="138"/>
        <v>645.16129032258061</v>
      </c>
      <c r="K178" s="72">
        <v>20000</v>
      </c>
      <c r="L178" s="72">
        <f t="shared" si="139"/>
        <v>12000</v>
      </c>
      <c r="M178" s="72">
        <f t="shared" si="140"/>
        <v>6000</v>
      </c>
      <c r="N178" s="72">
        <f t="shared" si="141"/>
        <v>1200</v>
      </c>
      <c r="O178" s="72">
        <f t="shared" si="142"/>
        <v>800</v>
      </c>
      <c r="P178" s="259"/>
      <c r="Q178" s="260">
        <f t="shared" si="143"/>
        <v>20000</v>
      </c>
      <c r="R178" s="260">
        <f t="shared" si="144"/>
        <v>20000</v>
      </c>
      <c r="S178" s="261"/>
      <c r="T178" s="261"/>
      <c r="U178" s="809"/>
      <c r="V178" s="263">
        <f t="shared" si="145"/>
        <v>20000</v>
      </c>
      <c r="W178" s="72"/>
      <c r="X178" s="261">
        <f>IFERROR(VLOOKUP(B178,'Lunch bill'!$B$6:$H$30,7,0),0)</f>
        <v>0</v>
      </c>
      <c r="Y178" s="261">
        <f t="shared" si="146"/>
        <v>600</v>
      </c>
      <c r="Z178" s="261">
        <f>IFERROR(VLOOKUP(B178,'55 Bike '!$B$7:$J$139,9,0),0)</f>
        <v>0</v>
      </c>
      <c r="AA178" s="261"/>
      <c r="AB178" s="73">
        <f t="shared" si="147"/>
        <v>600</v>
      </c>
      <c r="AC178" s="73">
        <f t="shared" si="148"/>
        <v>19400</v>
      </c>
      <c r="AD178" s="264" t="s">
        <v>23</v>
      </c>
      <c r="AE178" s="256" t="s">
        <v>567</v>
      </c>
      <c r="AF178" s="838"/>
      <c r="AG178" s="205"/>
      <c r="AH178" s="383"/>
      <c r="AI178" s="543"/>
      <c r="AJ178" s="548"/>
      <c r="AK178" s="548"/>
      <c r="AL178" s="198"/>
      <c r="AM178" s="320"/>
      <c r="AN178" s="61"/>
      <c r="AO178" s="61"/>
      <c r="AP178" s="198"/>
      <c r="AQ178" s="61"/>
    </row>
    <row r="179" spans="1:43" s="61" customFormat="1" ht="33" customHeight="1">
      <c r="A179" s="253">
        <v>5</v>
      </c>
      <c r="B179" s="254" t="s">
        <v>891</v>
      </c>
      <c r="C179" s="255" t="s">
        <v>892</v>
      </c>
      <c r="D179" s="278" t="str">
        <f>VLOOKUP(B179,Attendance!$B$6:$D$385,3,0)</f>
        <v>Sr. Executive</v>
      </c>
      <c r="E179" s="278" t="s">
        <v>880</v>
      </c>
      <c r="F179" s="523">
        <v>45171</v>
      </c>
      <c r="G179" s="257">
        <f>VLOOKUP(B179,Attendance!$B$6:$G$386,6,0)</f>
        <v>31</v>
      </c>
      <c r="H179" s="258">
        <f>VLOOKUP(B$8:B$380,Attendance!$B$6:$L$386,11,0)</f>
        <v>1</v>
      </c>
      <c r="I179" s="257">
        <f t="shared" si="137"/>
        <v>30</v>
      </c>
      <c r="J179" s="258">
        <f t="shared" si="138"/>
        <v>1290.3225806451612</v>
      </c>
      <c r="K179" s="72">
        <v>40000</v>
      </c>
      <c r="L179" s="72">
        <f t="shared" si="139"/>
        <v>24000</v>
      </c>
      <c r="M179" s="72">
        <f t="shared" si="140"/>
        <v>12000</v>
      </c>
      <c r="N179" s="72">
        <f t="shared" si="141"/>
        <v>2400</v>
      </c>
      <c r="O179" s="72">
        <f t="shared" si="142"/>
        <v>1600</v>
      </c>
      <c r="P179" s="259"/>
      <c r="Q179" s="260">
        <f t="shared" si="143"/>
        <v>40000</v>
      </c>
      <c r="R179" s="260">
        <f t="shared" si="144"/>
        <v>38710</v>
      </c>
      <c r="S179" s="261"/>
      <c r="T179" s="261"/>
      <c r="U179" s="809"/>
      <c r="V179" s="263">
        <f t="shared" si="145"/>
        <v>38710</v>
      </c>
      <c r="W179" s="72">
        <v>455</v>
      </c>
      <c r="X179" s="261">
        <f>IFERROR(VLOOKUP(B179,'Lunch bill'!$B$6:$H$30,7,0),0)</f>
        <v>0</v>
      </c>
      <c r="Y179" s="261">
        <f t="shared" si="146"/>
        <v>1200</v>
      </c>
      <c r="Z179" s="261">
        <f>IFERROR(VLOOKUP(B179,'55 Bike '!$B$7:$J$139,9,0),0)</f>
        <v>0</v>
      </c>
      <c r="AA179" s="261"/>
      <c r="AB179" s="73">
        <f t="shared" si="147"/>
        <v>1655</v>
      </c>
      <c r="AC179" s="73">
        <f t="shared" si="148"/>
        <v>37055</v>
      </c>
      <c r="AD179" s="264" t="s">
        <v>23</v>
      </c>
      <c r="AE179" s="256" t="s">
        <v>1247</v>
      </c>
      <c r="AF179" s="838"/>
      <c r="AG179" s="205"/>
      <c r="AH179" s="383"/>
      <c r="AI179" s="543"/>
      <c r="AJ179" s="548"/>
      <c r="AK179" s="548"/>
      <c r="AL179" s="198"/>
      <c r="AM179" s="320"/>
      <c r="AP179" s="198"/>
    </row>
    <row r="180" spans="1:43" s="61" customFormat="1" ht="33" customHeight="1">
      <c r="A180" s="253">
        <v>6</v>
      </c>
      <c r="B180" s="254" t="s">
        <v>1219</v>
      </c>
      <c r="C180" s="255" t="s">
        <v>1220</v>
      </c>
      <c r="D180" s="278" t="str">
        <f>VLOOKUP(B180,Attendance!$B$6:$D$385,3,0)</f>
        <v>Sr. Executive</v>
      </c>
      <c r="E180" s="278" t="s">
        <v>1221</v>
      </c>
      <c r="F180" s="523">
        <v>45361</v>
      </c>
      <c r="G180" s="257">
        <f>VLOOKUP(B180,Attendance!$B$6:$G$386,6,0)</f>
        <v>31</v>
      </c>
      <c r="H180" s="258">
        <f>VLOOKUP(B$8:B$380,Attendance!$B$6:$L$386,11,0)</f>
        <v>0</v>
      </c>
      <c r="I180" s="257">
        <f t="shared" si="137"/>
        <v>31</v>
      </c>
      <c r="J180" s="258">
        <f t="shared" si="138"/>
        <v>1290.3225806451612</v>
      </c>
      <c r="K180" s="72">
        <v>40000</v>
      </c>
      <c r="L180" s="72">
        <f t="shared" si="139"/>
        <v>24000</v>
      </c>
      <c r="M180" s="72">
        <f t="shared" si="140"/>
        <v>12000</v>
      </c>
      <c r="N180" s="72">
        <f t="shared" si="141"/>
        <v>2400</v>
      </c>
      <c r="O180" s="72">
        <f t="shared" si="142"/>
        <v>1600</v>
      </c>
      <c r="P180" s="259"/>
      <c r="Q180" s="260">
        <f t="shared" si="143"/>
        <v>40000</v>
      </c>
      <c r="R180" s="260">
        <f t="shared" si="144"/>
        <v>40000</v>
      </c>
      <c r="S180" s="261"/>
      <c r="T180" s="261"/>
      <c r="U180" s="809"/>
      <c r="V180" s="263">
        <f t="shared" si="145"/>
        <v>40000</v>
      </c>
      <c r="W180" s="72">
        <v>417</v>
      </c>
      <c r="X180" s="261">
        <f>IFERROR(VLOOKUP(B180,'Lunch bill'!$B$6:$H$30,7,0),0)</f>
        <v>0</v>
      </c>
      <c r="Y180" s="261">
        <f t="shared" si="146"/>
        <v>0</v>
      </c>
      <c r="Z180" s="261">
        <f>IFERROR(VLOOKUP(B180,'55 Bike '!$B$7:$J$139,9,0),0)</f>
        <v>0</v>
      </c>
      <c r="AA180" s="261"/>
      <c r="AB180" s="73">
        <f t="shared" si="147"/>
        <v>417</v>
      </c>
      <c r="AC180" s="73">
        <f t="shared" si="148"/>
        <v>39583</v>
      </c>
      <c r="AD180" s="264" t="s">
        <v>23</v>
      </c>
      <c r="AE180" s="256" t="s">
        <v>1341</v>
      </c>
      <c r="AF180" s="838"/>
      <c r="AG180" s="205"/>
      <c r="AH180" s="383"/>
      <c r="AI180" s="543"/>
      <c r="AJ180" s="548"/>
      <c r="AK180" s="548"/>
      <c r="AL180" s="198"/>
      <c r="AM180" s="320"/>
      <c r="AP180" s="198"/>
    </row>
    <row r="181" spans="1:43" s="61" customFormat="1" ht="33" customHeight="1">
      <c r="A181" s="253">
        <v>7</v>
      </c>
      <c r="B181" s="254" t="s">
        <v>1285</v>
      </c>
      <c r="C181" s="255" t="s">
        <v>1286</v>
      </c>
      <c r="D181" s="278" t="str">
        <f>VLOOKUP(B181,Attendance!$B$6:$D$385,3,0)</f>
        <v>Sr. Executive</v>
      </c>
      <c r="E181" s="278" t="s">
        <v>1287</v>
      </c>
      <c r="F181" s="523">
        <v>45397</v>
      </c>
      <c r="G181" s="257">
        <f>VLOOKUP(B181,Attendance!$B$6:$G$386,6,0)</f>
        <v>31</v>
      </c>
      <c r="H181" s="258">
        <f>VLOOKUP(B$8:B$380,Attendance!$B$6:$L$386,11,0)</f>
        <v>0</v>
      </c>
      <c r="I181" s="257">
        <f t="shared" si="137"/>
        <v>31</v>
      </c>
      <c r="J181" s="258">
        <f t="shared" si="138"/>
        <v>1129.0322580645161</v>
      </c>
      <c r="K181" s="72">
        <v>35000</v>
      </c>
      <c r="L181" s="72">
        <f t="shared" si="139"/>
        <v>21000</v>
      </c>
      <c r="M181" s="72">
        <f t="shared" si="140"/>
        <v>10500</v>
      </c>
      <c r="N181" s="72">
        <f t="shared" si="141"/>
        <v>2100</v>
      </c>
      <c r="O181" s="72">
        <f t="shared" si="142"/>
        <v>1400</v>
      </c>
      <c r="P181" s="259"/>
      <c r="Q181" s="260">
        <f t="shared" si="143"/>
        <v>35000</v>
      </c>
      <c r="R181" s="260">
        <f t="shared" si="144"/>
        <v>35000</v>
      </c>
      <c r="S181" s="261"/>
      <c r="T181" s="261"/>
      <c r="U181" s="809"/>
      <c r="V181" s="263">
        <f t="shared" si="145"/>
        <v>35000</v>
      </c>
      <c r="W181" s="72"/>
      <c r="X181" s="261">
        <f>IFERROR(VLOOKUP(B181,'Lunch bill'!$B$6:$H$30,7,0),0)</f>
        <v>0</v>
      </c>
      <c r="Y181" s="261">
        <f t="shared" si="146"/>
        <v>0</v>
      </c>
      <c r="Z181" s="261">
        <f>IFERROR(VLOOKUP(B181,'55 Bike '!$B$7:$J$139,9,0),0)</f>
        <v>0</v>
      </c>
      <c r="AA181" s="261"/>
      <c r="AB181" s="73">
        <f t="shared" si="147"/>
        <v>0</v>
      </c>
      <c r="AC181" s="73">
        <f t="shared" si="148"/>
        <v>35000</v>
      </c>
      <c r="AD181" s="264" t="s">
        <v>23</v>
      </c>
      <c r="AE181" s="256" t="s">
        <v>1342</v>
      </c>
      <c r="AF181" s="838"/>
      <c r="AG181" s="205"/>
      <c r="AH181" s="383"/>
      <c r="AI181" s="543"/>
      <c r="AJ181" s="548"/>
      <c r="AK181" s="548"/>
      <c r="AL181" s="198"/>
      <c r="AM181" s="320"/>
      <c r="AP181" s="198"/>
    </row>
    <row r="182" spans="1:43" s="61" customFormat="1" ht="33" customHeight="1">
      <c r="A182" s="253">
        <v>8</v>
      </c>
      <c r="B182" s="254" t="s">
        <v>1608</v>
      </c>
      <c r="C182" s="255" t="s">
        <v>1609</v>
      </c>
      <c r="D182" s="278" t="s">
        <v>1155</v>
      </c>
      <c r="E182" s="278" t="s">
        <v>1287</v>
      </c>
      <c r="F182" s="523">
        <v>45505</v>
      </c>
      <c r="G182" s="257">
        <f>VLOOKUP(B182,Attendance!$B$6:$G$386,6,0)</f>
        <v>31</v>
      </c>
      <c r="H182" s="258">
        <f>VLOOKUP(B$8:B$380,Attendance!$B$6:$L$386,11,0)</f>
        <v>0</v>
      </c>
      <c r="I182" s="257">
        <f t="shared" ref="I182" si="149">G182-H182</f>
        <v>31</v>
      </c>
      <c r="J182" s="258">
        <f t="shared" si="138"/>
        <v>645.16129032258061</v>
      </c>
      <c r="K182" s="72">
        <v>20000</v>
      </c>
      <c r="L182" s="72">
        <f t="shared" ref="L182" si="150">K182*60%</f>
        <v>12000</v>
      </c>
      <c r="M182" s="72">
        <f t="shared" ref="M182" si="151">K182*30%</f>
        <v>6000</v>
      </c>
      <c r="N182" s="72">
        <f t="shared" ref="N182" si="152">K182*6%</f>
        <v>1200</v>
      </c>
      <c r="O182" s="72">
        <f t="shared" ref="O182" si="153">K182*4%</f>
        <v>800</v>
      </c>
      <c r="P182" s="259"/>
      <c r="Q182" s="260">
        <f t="shared" ref="Q182" si="154">SUM(L182:P182)</f>
        <v>20000</v>
      </c>
      <c r="R182" s="260">
        <f t="shared" ref="R182" si="155">ROUND(I182*J182,)</f>
        <v>20000</v>
      </c>
      <c r="S182" s="261"/>
      <c r="T182" s="261"/>
      <c r="U182" s="809"/>
      <c r="V182" s="263">
        <f t="shared" si="145"/>
        <v>20000</v>
      </c>
      <c r="W182" s="72"/>
      <c r="X182" s="261">
        <f>IFERROR(VLOOKUP(B182,'Lunch bill'!$B$6:$H$30,7,0),0)</f>
        <v>0</v>
      </c>
      <c r="Y182" s="261">
        <f t="shared" ref="Y182" si="156">ROUND(IF($AH$4-F182&gt;=360,L182*5%,0),0)</f>
        <v>0</v>
      </c>
      <c r="Z182" s="261">
        <f>IFERROR(VLOOKUP(B182,'55 Bike '!$B$7:$J$139,9,0),0)</f>
        <v>0</v>
      </c>
      <c r="AA182" s="261"/>
      <c r="AB182" s="73">
        <f t="shared" ref="AB182" si="157">SUM(W182:AA182)</f>
        <v>0</v>
      </c>
      <c r="AC182" s="73">
        <f t="shared" si="148"/>
        <v>20000</v>
      </c>
      <c r="AD182" s="264" t="s">
        <v>23</v>
      </c>
      <c r="AE182" s="256" t="s">
        <v>1618</v>
      </c>
      <c r="AF182" s="838"/>
      <c r="AG182" s="205"/>
      <c r="AH182" s="383"/>
      <c r="AI182" s="543"/>
      <c r="AJ182" s="548"/>
      <c r="AK182" s="548"/>
      <c r="AL182" s="198"/>
      <c r="AM182" s="320"/>
      <c r="AP182" s="198"/>
    </row>
    <row r="183" spans="1:43" s="61" customFormat="1" ht="24.95" customHeight="1">
      <c r="A183" s="101" t="s">
        <v>67</v>
      </c>
      <c r="B183" s="102"/>
      <c r="C183" s="103"/>
      <c r="D183" s="282"/>
      <c r="E183" s="282"/>
      <c r="F183" s="526"/>
      <c r="G183" s="104"/>
      <c r="H183" s="104"/>
      <c r="I183" s="104"/>
      <c r="J183" s="104"/>
      <c r="K183" s="107">
        <f>SUM(K175:K182)</f>
        <v>245000</v>
      </c>
      <c r="L183" s="107">
        <f t="shared" ref="L183:AC183" si="158">SUM(L175:L182)</f>
        <v>147000</v>
      </c>
      <c r="M183" s="107">
        <f t="shared" si="158"/>
        <v>73500</v>
      </c>
      <c r="N183" s="107">
        <f t="shared" si="158"/>
        <v>14700</v>
      </c>
      <c r="O183" s="107">
        <f t="shared" si="158"/>
        <v>9800</v>
      </c>
      <c r="P183" s="107">
        <f t="shared" si="158"/>
        <v>0</v>
      </c>
      <c r="Q183" s="107">
        <f t="shared" si="158"/>
        <v>245000</v>
      </c>
      <c r="R183" s="107">
        <f t="shared" si="158"/>
        <v>243710</v>
      </c>
      <c r="S183" s="107">
        <f t="shared" si="158"/>
        <v>0</v>
      </c>
      <c r="T183" s="107">
        <f t="shared" si="158"/>
        <v>0</v>
      </c>
      <c r="U183" s="107">
        <f t="shared" ref="U183" si="159">SUM(U175:U182)</f>
        <v>0</v>
      </c>
      <c r="V183" s="107">
        <f t="shared" si="158"/>
        <v>243710</v>
      </c>
      <c r="W183" s="107">
        <f t="shared" si="158"/>
        <v>872</v>
      </c>
      <c r="X183" s="107">
        <f t="shared" si="158"/>
        <v>2250</v>
      </c>
      <c r="Y183" s="107">
        <f t="shared" si="158"/>
        <v>4500</v>
      </c>
      <c r="Z183" s="107">
        <f t="shared" si="158"/>
        <v>0</v>
      </c>
      <c r="AA183" s="107">
        <f t="shared" si="158"/>
        <v>0</v>
      </c>
      <c r="AB183" s="107">
        <f t="shared" si="158"/>
        <v>7622</v>
      </c>
      <c r="AC183" s="107">
        <f t="shared" si="158"/>
        <v>236088</v>
      </c>
      <c r="AD183" s="107"/>
      <c r="AE183" s="113"/>
      <c r="AF183" s="838"/>
      <c r="AG183" s="199"/>
      <c r="AH183" s="383"/>
      <c r="AI183" s="543"/>
      <c r="AJ183" s="548"/>
      <c r="AK183" s="549"/>
      <c r="AL183" s="198"/>
      <c r="AM183" s="320"/>
      <c r="AP183" s="198"/>
    </row>
    <row r="184" spans="1:43" s="47" customFormat="1" ht="27.75" customHeight="1">
      <c r="A184" s="116" t="s">
        <v>305</v>
      </c>
      <c r="B184" s="117"/>
      <c r="C184" s="117"/>
      <c r="D184" s="283"/>
      <c r="E184" s="498"/>
      <c r="F184" s="528"/>
      <c r="G184" s="117"/>
      <c r="H184" s="247"/>
      <c r="I184" s="117"/>
      <c r="J184" s="117"/>
      <c r="K184" s="117"/>
      <c r="L184" s="117"/>
      <c r="M184" s="117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247"/>
      <c r="Z184" s="117"/>
      <c r="AA184" s="117"/>
      <c r="AB184" s="117"/>
      <c r="AC184" s="117"/>
      <c r="AD184" s="117"/>
      <c r="AE184" s="118"/>
      <c r="AF184" s="838"/>
      <c r="AG184" s="90"/>
      <c r="AH184" s="383"/>
      <c r="AI184" s="543"/>
      <c r="AJ184" s="548"/>
      <c r="AK184" s="549"/>
      <c r="AL184" s="198"/>
      <c r="AM184" s="320"/>
      <c r="AN184" s="61"/>
      <c r="AO184" s="61"/>
      <c r="AP184" s="198"/>
      <c r="AQ184" s="61"/>
    </row>
    <row r="185" spans="1:43" s="61" customFormat="1" ht="24.95" customHeight="1">
      <c r="A185" s="501">
        <v>1</v>
      </c>
      <c r="B185" s="502" t="s">
        <v>306</v>
      </c>
      <c r="C185" s="329" t="s">
        <v>307</v>
      </c>
      <c r="D185" s="330" t="str">
        <f>VLOOKUP(B185,Attendance!$B$6:$D$385,3,0)</f>
        <v>Driver</v>
      </c>
      <c r="E185" s="330" t="s">
        <v>137</v>
      </c>
      <c r="F185" s="522">
        <v>44571</v>
      </c>
      <c r="G185" s="257">
        <f>VLOOKUP(B185,Attendance!$B$6:$G$386,6,0)</f>
        <v>31</v>
      </c>
      <c r="H185" s="258">
        <f>VLOOKUP(B$8:B$380,Attendance!$B$6:$L$386,11,0)</f>
        <v>0</v>
      </c>
      <c r="I185" s="257">
        <f t="shared" ref="I185:I200" si="160">G185-H185</f>
        <v>31</v>
      </c>
      <c r="J185" s="258">
        <f t="shared" ref="J185:J201" si="161">Q185/G185</f>
        <v>709.67741935483866</v>
      </c>
      <c r="K185" s="72">
        <v>22000</v>
      </c>
      <c r="L185" s="72">
        <f t="shared" ref="L185:L200" si="162">K185*60%</f>
        <v>13200</v>
      </c>
      <c r="M185" s="72">
        <f t="shared" ref="M185:M200" si="163">K185*30%</f>
        <v>6600</v>
      </c>
      <c r="N185" s="72">
        <f t="shared" ref="N185:N200" si="164">K185*6%</f>
        <v>1320</v>
      </c>
      <c r="O185" s="72">
        <f t="shared" ref="O185:O200" si="165">K185*4%</f>
        <v>880</v>
      </c>
      <c r="P185" s="333">
        <v>0</v>
      </c>
      <c r="Q185" s="334">
        <f t="shared" ref="Q185:Q200" si="166">SUM(L185:P185)</f>
        <v>22000</v>
      </c>
      <c r="R185" s="334">
        <f t="shared" ref="R185:R200" si="167">ROUND(I185*J185,)</f>
        <v>22000</v>
      </c>
      <c r="S185" s="393"/>
      <c r="T185" s="393"/>
      <c r="U185" s="809"/>
      <c r="V185" s="335">
        <f t="shared" ref="V185:V200" si="168">SUM(R185:U185)</f>
        <v>22000</v>
      </c>
      <c r="W185" s="58">
        <v>0</v>
      </c>
      <c r="X185" s="261">
        <f>IFERROR(VLOOKUP(B185,'Lunch bill'!$B$6:$H$30,7,0),0)</f>
        <v>0</v>
      </c>
      <c r="Y185" s="261">
        <f t="shared" ref="Y185:Y200" si="169">ROUND(IF($AH$4-F185&gt;=360,L185*5%,0),0)</f>
        <v>660</v>
      </c>
      <c r="Z185" s="261">
        <f>IFERROR(VLOOKUP(B185,'55 Bike '!$B$7:$J$139,9,0),0)</f>
        <v>0</v>
      </c>
      <c r="AA185" s="337"/>
      <c r="AB185" s="73">
        <f t="shared" ref="AB185:AB200" si="170">SUM(W185:AA185)</f>
        <v>660</v>
      </c>
      <c r="AC185" s="193">
        <f t="shared" ref="AC185:AC200" si="171">ROUND(V185-AB185,0)</f>
        <v>21340</v>
      </c>
      <c r="AD185" s="504" t="s">
        <v>23</v>
      </c>
      <c r="AE185" s="331" t="s">
        <v>1253</v>
      </c>
      <c r="AF185" s="838"/>
      <c r="AG185" s="205"/>
      <c r="AH185" s="383"/>
      <c r="AI185" s="543"/>
      <c r="AJ185" s="548"/>
      <c r="AK185" s="548"/>
      <c r="AL185" s="198"/>
      <c r="AM185" s="320"/>
      <c r="AP185" s="198"/>
    </row>
    <row r="186" spans="1:43" s="61" customFormat="1" ht="24.95" customHeight="1">
      <c r="A186" s="253">
        <v>2</v>
      </c>
      <c r="B186" s="254" t="s">
        <v>310</v>
      </c>
      <c r="C186" s="255" t="s">
        <v>311</v>
      </c>
      <c r="D186" s="278" t="str">
        <f>VLOOKUP(B186,Attendance!$B$6:$D$385,3,0)</f>
        <v>Driver</v>
      </c>
      <c r="E186" s="278" t="s">
        <v>312</v>
      </c>
      <c r="F186" s="523">
        <v>44782</v>
      </c>
      <c r="G186" s="257">
        <f>VLOOKUP(B186,Attendance!$B$6:$G$386,6,0)</f>
        <v>31</v>
      </c>
      <c r="H186" s="258">
        <f>VLOOKUP(B$8:B$380,Attendance!$B$6:$L$386,11,0)</f>
        <v>0</v>
      </c>
      <c r="I186" s="257">
        <f t="shared" si="160"/>
        <v>31</v>
      </c>
      <c r="J186" s="258">
        <f t="shared" si="161"/>
        <v>709.67741935483866</v>
      </c>
      <c r="K186" s="72">
        <v>22000</v>
      </c>
      <c r="L186" s="72">
        <f t="shared" si="162"/>
        <v>13200</v>
      </c>
      <c r="M186" s="72">
        <f t="shared" si="163"/>
        <v>6600</v>
      </c>
      <c r="N186" s="72">
        <f t="shared" si="164"/>
        <v>1320</v>
      </c>
      <c r="O186" s="72">
        <f t="shared" si="165"/>
        <v>880</v>
      </c>
      <c r="P186" s="259"/>
      <c r="Q186" s="260">
        <f t="shared" si="166"/>
        <v>22000</v>
      </c>
      <c r="R186" s="260">
        <f t="shared" si="167"/>
        <v>22000</v>
      </c>
      <c r="S186" s="261"/>
      <c r="T186" s="261"/>
      <c r="U186" s="809"/>
      <c r="V186" s="263">
        <f t="shared" si="168"/>
        <v>22000</v>
      </c>
      <c r="W186" s="72"/>
      <c r="X186" s="261">
        <f>IFERROR(VLOOKUP(B186,'Lunch bill'!$B$6:$H$30,7,0),0)</f>
        <v>0</v>
      </c>
      <c r="Y186" s="261">
        <f t="shared" si="169"/>
        <v>660</v>
      </c>
      <c r="Z186" s="261">
        <f>IFERROR(VLOOKUP(B186,'55 Bike '!$B$7:$J$139,9,0),0)</f>
        <v>0</v>
      </c>
      <c r="AA186" s="261">
        <v>5000</v>
      </c>
      <c r="AB186" s="73">
        <f t="shared" si="170"/>
        <v>5660</v>
      </c>
      <c r="AC186" s="73">
        <f t="shared" si="171"/>
        <v>16340</v>
      </c>
      <c r="AD186" s="264" t="s">
        <v>23</v>
      </c>
      <c r="AE186" s="256" t="s">
        <v>313</v>
      </c>
      <c r="AF186" s="838"/>
      <c r="AG186" s="205"/>
      <c r="AH186" s="383"/>
      <c r="AI186" s="543"/>
      <c r="AJ186" s="548"/>
      <c r="AK186" s="548"/>
      <c r="AL186" s="198"/>
      <c r="AM186" s="320"/>
      <c r="AP186" s="198"/>
    </row>
    <row r="187" spans="1:43" s="61" customFormat="1" ht="24.95" customHeight="1">
      <c r="A187" s="253">
        <v>3</v>
      </c>
      <c r="B187" s="254" t="s">
        <v>314</v>
      </c>
      <c r="C187" s="255" t="s">
        <v>315</v>
      </c>
      <c r="D187" s="278" t="str">
        <f>VLOOKUP(B187,Attendance!$B$6:$D$385,3,0)</f>
        <v>Driver</v>
      </c>
      <c r="E187" s="278" t="s">
        <v>312</v>
      </c>
      <c r="F187" s="523">
        <v>44828</v>
      </c>
      <c r="G187" s="257">
        <f>VLOOKUP(B187,Attendance!$B$6:$G$386,6,0)</f>
        <v>31</v>
      </c>
      <c r="H187" s="258">
        <f>VLOOKUP(B$8:B$380,Attendance!$B$6:$L$386,11,0)</f>
        <v>0</v>
      </c>
      <c r="I187" s="257">
        <f t="shared" si="160"/>
        <v>31</v>
      </c>
      <c r="J187" s="258">
        <f t="shared" si="161"/>
        <v>709.67741935483866</v>
      </c>
      <c r="K187" s="72">
        <v>22000</v>
      </c>
      <c r="L187" s="72">
        <f t="shared" si="162"/>
        <v>13200</v>
      </c>
      <c r="M187" s="72">
        <f t="shared" si="163"/>
        <v>6600</v>
      </c>
      <c r="N187" s="72">
        <f t="shared" si="164"/>
        <v>1320</v>
      </c>
      <c r="O187" s="72">
        <f t="shared" si="165"/>
        <v>880</v>
      </c>
      <c r="P187" s="259"/>
      <c r="Q187" s="260">
        <f t="shared" si="166"/>
        <v>22000</v>
      </c>
      <c r="R187" s="260">
        <f t="shared" si="167"/>
        <v>22000</v>
      </c>
      <c r="S187" s="261"/>
      <c r="T187" s="261"/>
      <c r="U187" s="809"/>
      <c r="V187" s="263">
        <f t="shared" si="168"/>
        <v>22000</v>
      </c>
      <c r="W187" s="72"/>
      <c r="X187" s="261">
        <f>IFERROR(VLOOKUP(B187,'Lunch bill'!$B$6:$H$30,7,0),0)</f>
        <v>0</v>
      </c>
      <c r="Y187" s="261">
        <f t="shared" si="169"/>
        <v>660</v>
      </c>
      <c r="Z187" s="261">
        <f>IFERROR(VLOOKUP(B187,'55 Bike '!$B$7:$J$139,9,0),0)</f>
        <v>0</v>
      </c>
      <c r="AA187" s="261"/>
      <c r="AB187" s="73">
        <f t="shared" si="170"/>
        <v>660</v>
      </c>
      <c r="AC187" s="73">
        <f t="shared" si="171"/>
        <v>21340</v>
      </c>
      <c r="AD187" s="264" t="s">
        <v>23</v>
      </c>
      <c r="AE187" s="256" t="s">
        <v>316</v>
      </c>
      <c r="AF187" s="838"/>
      <c r="AG187" s="205"/>
      <c r="AH187" s="383"/>
      <c r="AI187" s="543"/>
      <c r="AJ187" s="548"/>
      <c r="AK187" s="548"/>
      <c r="AL187" s="198"/>
      <c r="AM187" s="320"/>
      <c r="AP187" s="198"/>
    </row>
    <row r="188" spans="1:43" s="61" customFormat="1" ht="24.95" customHeight="1">
      <c r="A188" s="253">
        <v>4</v>
      </c>
      <c r="B188" s="254" t="s">
        <v>135</v>
      </c>
      <c r="C188" s="255" t="s">
        <v>136</v>
      </c>
      <c r="D188" s="278" t="str">
        <f>VLOOKUP(B188,Attendance!$B$6:$D$385,3,0)</f>
        <v>Driver</v>
      </c>
      <c r="E188" s="278" t="s">
        <v>137</v>
      </c>
      <c r="F188" s="523">
        <v>44667</v>
      </c>
      <c r="G188" s="257">
        <f>VLOOKUP(B188,Attendance!$B$6:$G$386,6,0)</f>
        <v>31</v>
      </c>
      <c r="H188" s="258">
        <f>VLOOKUP(B$8:B$380,Attendance!$B$6:$L$386,11,0)</f>
        <v>0</v>
      </c>
      <c r="I188" s="257">
        <f t="shared" si="160"/>
        <v>31</v>
      </c>
      <c r="J188" s="258">
        <f t="shared" si="161"/>
        <v>709.67741935483866</v>
      </c>
      <c r="K188" s="72">
        <v>22000</v>
      </c>
      <c r="L188" s="72">
        <f t="shared" si="162"/>
        <v>13200</v>
      </c>
      <c r="M188" s="72">
        <f t="shared" si="163"/>
        <v>6600</v>
      </c>
      <c r="N188" s="72">
        <f t="shared" si="164"/>
        <v>1320</v>
      </c>
      <c r="O188" s="72">
        <f t="shared" si="165"/>
        <v>880</v>
      </c>
      <c r="P188" s="259">
        <v>0</v>
      </c>
      <c r="Q188" s="260">
        <f t="shared" si="166"/>
        <v>22000</v>
      </c>
      <c r="R188" s="260">
        <f t="shared" si="167"/>
        <v>22000</v>
      </c>
      <c r="S188" s="261"/>
      <c r="T188" s="261"/>
      <c r="U188" s="809"/>
      <c r="V188" s="263">
        <f t="shared" si="168"/>
        <v>22000</v>
      </c>
      <c r="W188" s="72">
        <v>0</v>
      </c>
      <c r="X188" s="261">
        <f>IFERROR(VLOOKUP(B188,'Lunch bill'!$B$6:$H$30,7,0),0)</f>
        <v>0</v>
      </c>
      <c r="Y188" s="261">
        <f t="shared" si="169"/>
        <v>660</v>
      </c>
      <c r="Z188" s="261">
        <f>IFERROR(VLOOKUP(B188,'55 Bike '!$B$7:$J$139,9,0),0)</f>
        <v>0</v>
      </c>
      <c r="AA188" s="261"/>
      <c r="AB188" s="73">
        <f t="shared" si="170"/>
        <v>660</v>
      </c>
      <c r="AC188" s="73">
        <f t="shared" si="171"/>
        <v>21340</v>
      </c>
      <c r="AD188" s="264" t="s">
        <v>23</v>
      </c>
      <c r="AE188" s="256" t="s">
        <v>138</v>
      </c>
      <c r="AF188" s="838"/>
      <c r="AG188" s="205"/>
      <c r="AH188" s="383"/>
      <c r="AI188" s="543"/>
      <c r="AJ188" s="548"/>
      <c r="AK188" s="548"/>
      <c r="AL188" s="198"/>
      <c r="AM188" s="320"/>
      <c r="AP188" s="198"/>
    </row>
    <row r="189" spans="1:43" s="61" customFormat="1" ht="24.95" customHeight="1">
      <c r="A189" s="253">
        <v>5</v>
      </c>
      <c r="B189" s="254" t="s">
        <v>139</v>
      </c>
      <c r="C189" s="255" t="s">
        <v>140</v>
      </c>
      <c r="D189" s="278" t="str">
        <f>VLOOKUP(B189,Attendance!$B$6:$D$385,3,0)</f>
        <v>Driver</v>
      </c>
      <c r="E189" s="278" t="s">
        <v>137</v>
      </c>
      <c r="F189" s="523">
        <v>44663</v>
      </c>
      <c r="G189" s="257">
        <f>VLOOKUP(B189,Attendance!$B$6:$G$386,6,0)</f>
        <v>31</v>
      </c>
      <c r="H189" s="258">
        <f>VLOOKUP(B$8:B$380,Attendance!$B$6:$L$386,11,0)</f>
        <v>0</v>
      </c>
      <c r="I189" s="257">
        <f t="shared" si="160"/>
        <v>31</v>
      </c>
      <c r="J189" s="258">
        <f t="shared" si="161"/>
        <v>709.67741935483866</v>
      </c>
      <c r="K189" s="72">
        <v>22000</v>
      </c>
      <c r="L189" s="72">
        <f t="shared" si="162"/>
        <v>13200</v>
      </c>
      <c r="M189" s="72">
        <f t="shared" si="163"/>
        <v>6600</v>
      </c>
      <c r="N189" s="72">
        <f t="shared" si="164"/>
        <v>1320</v>
      </c>
      <c r="O189" s="72">
        <f t="shared" si="165"/>
        <v>880</v>
      </c>
      <c r="P189" s="259">
        <v>0</v>
      </c>
      <c r="Q189" s="260">
        <f t="shared" si="166"/>
        <v>22000</v>
      </c>
      <c r="R189" s="260">
        <f t="shared" si="167"/>
        <v>22000</v>
      </c>
      <c r="S189" s="261"/>
      <c r="T189" s="261"/>
      <c r="U189" s="809"/>
      <c r="V189" s="263">
        <f t="shared" si="168"/>
        <v>22000</v>
      </c>
      <c r="W189" s="72">
        <v>0</v>
      </c>
      <c r="X189" s="261">
        <f>IFERROR(VLOOKUP(B189,'Lunch bill'!$B$6:$H$30,7,0),0)</f>
        <v>0</v>
      </c>
      <c r="Y189" s="261">
        <f t="shared" si="169"/>
        <v>660</v>
      </c>
      <c r="Z189" s="261">
        <f>IFERROR(VLOOKUP(B189,'55 Bike '!$B$7:$J$139,9,0),0)</f>
        <v>0</v>
      </c>
      <c r="AA189" s="261"/>
      <c r="AB189" s="73">
        <f t="shared" si="170"/>
        <v>660</v>
      </c>
      <c r="AC189" s="73">
        <f t="shared" si="171"/>
        <v>21340</v>
      </c>
      <c r="AD189" s="264" t="s">
        <v>23</v>
      </c>
      <c r="AE189" s="256" t="s">
        <v>141</v>
      </c>
      <c r="AF189" s="838"/>
      <c r="AG189" s="205"/>
      <c r="AH189" s="383"/>
      <c r="AI189" s="543"/>
      <c r="AJ189" s="548"/>
      <c r="AK189" s="548"/>
      <c r="AL189" s="198"/>
      <c r="AM189" s="320"/>
      <c r="AP189" s="198"/>
    </row>
    <row r="190" spans="1:43" s="61" customFormat="1" ht="24.95" customHeight="1">
      <c r="A190" s="253">
        <v>6</v>
      </c>
      <c r="B190" s="254" t="s">
        <v>317</v>
      </c>
      <c r="C190" s="255" t="s">
        <v>318</v>
      </c>
      <c r="D190" s="278" t="str">
        <f>VLOOKUP(B190,Attendance!$B$6:$D$385,3,0)</f>
        <v>Driver</v>
      </c>
      <c r="E190" s="278" t="s">
        <v>312</v>
      </c>
      <c r="F190" s="523">
        <v>44844</v>
      </c>
      <c r="G190" s="257">
        <f>VLOOKUP(B190,Attendance!$B$6:$G$386,6,0)</f>
        <v>31</v>
      </c>
      <c r="H190" s="258">
        <f>VLOOKUP(B$8:B$380,Attendance!$B$6:$L$386,11,0)</f>
        <v>0</v>
      </c>
      <c r="I190" s="257">
        <f t="shared" si="160"/>
        <v>31</v>
      </c>
      <c r="J190" s="258">
        <f t="shared" si="161"/>
        <v>580.64516129032256</v>
      </c>
      <c r="K190" s="72">
        <v>18000</v>
      </c>
      <c r="L190" s="72">
        <f t="shared" si="162"/>
        <v>10800</v>
      </c>
      <c r="M190" s="72">
        <f t="shared" si="163"/>
        <v>5400</v>
      </c>
      <c r="N190" s="72">
        <f t="shared" si="164"/>
        <v>1080</v>
      </c>
      <c r="O190" s="72">
        <f t="shared" si="165"/>
        <v>720</v>
      </c>
      <c r="P190" s="259"/>
      <c r="Q190" s="260">
        <f t="shared" si="166"/>
        <v>18000</v>
      </c>
      <c r="R190" s="260">
        <f t="shared" si="167"/>
        <v>18000</v>
      </c>
      <c r="S190" s="261"/>
      <c r="T190" s="261"/>
      <c r="U190" s="809"/>
      <c r="V190" s="263">
        <f t="shared" si="168"/>
        <v>18000</v>
      </c>
      <c r="W190" s="72"/>
      <c r="X190" s="261">
        <f>IFERROR(VLOOKUP(B190,'Lunch bill'!$B$6:$H$30,7,0),0)</f>
        <v>0</v>
      </c>
      <c r="Y190" s="261">
        <f t="shared" si="169"/>
        <v>540</v>
      </c>
      <c r="Z190" s="261">
        <f>IFERROR(VLOOKUP(B190,'55 Bike '!$B$7:$J$139,9,0),0)</f>
        <v>0</v>
      </c>
      <c r="AA190" s="261"/>
      <c r="AB190" s="73">
        <f t="shared" si="170"/>
        <v>540</v>
      </c>
      <c r="AC190" s="73">
        <f t="shared" si="171"/>
        <v>17460</v>
      </c>
      <c r="AD190" s="264" t="s">
        <v>23</v>
      </c>
      <c r="AE190" s="256" t="s">
        <v>1697</v>
      </c>
      <c r="AF190" s="838"/>
      <c r="AG190" s="205"/>
      <c r="AH190" s="383"/>
      <c r="AI190" s="543"/>
      <c r="AJ190" s="548"/>
      <c r="AK190" s="549"/>
      <c r="AL190" s="198"/>
      <c r="AM190" s="320"/>
      <c r="AP190" s="198"/>
    </row>
    <row r="191" spans="1:43" s="61" customFormat="1" ht="24.95" customHeight="1">
      <c r="A191" s="253">
        <v>7</v>
      </c>
      <c r="B191" s="254" t="s">
        <v>665</v>
      </c>
      <c r="C191" s="255" t="s">
        <v>666</v>
      </c>
      <c r="D191" s="278" t="str">
        <f>VLOOKUP(B191,Attendance!$B$6:$D$385,3,0)</f>
        <v>Driver</v>
      </c>
      <c r="E191" s="278" t="s">
        <v>137</v>
      </c>
      <c r="F191" s="523">
        <v>45059</v>
      </c>
      <c r="G191" s="257">
        <f>VLOOKUP(B191,Attendance!$B$6:$G$386,6,0)</f>
        <v>31</v>
      </c>
      <c r="H191" s="258">
        <f>VLOOKUP(B$8:B$380,Attendance!$B$6:$L$386,11,0)</f>
        <v>0</v>
      </c>
      <c r="I191" s="257">
        <f t="shared" si="160"/>
        <v>31</v>
      </c>
      <c r="J191" s="258">
        <f t="shared" si="161"/>
        <v>612.90322580645159</v>
      </c>
      <c r="K191" s="72">
        <v>19000</v>
      </c>
      <c r="L191" s="72">
        <f t="shared" si="162"/>
        <v>11400</v>
      </c>
      <c r="M191" s="72">
        <f t="shared" si="163"/>
        <v>5700</v>
      </c>
      <c r="N191" s="72">
        <f t="shared" si="164"/>
        <v>1140</v>
      </c>
      <c r="O191" s="72">
        <f t="shared" si="165"/>
        <v>760</v>
      </c>
      <c r="P191" s="259"/>
      <c r="Q191" s="260">
        <f t="shared" si="166"/>
        <v>19000</v>
      </c>
      <c r="R191" s="260">
        <f t="shared" si="167"/>
        <v>19000</v>
      </c>
      <c r="S191" s="261"/>
      <c r="T191" s="261"/>
      <c r="U191" s="809"/>
      <c r="V191" s="263">
        <f t="shared" si="168"/>
        <v>19000</v>
      </c>
      <c r="W191" s="72"/>
      <c r="X191" s="261">
        <f>IFERROR(VLOOKUP(B191,'Lunch bill'!$B$6:$H$30,7,0),0)</f>
        <v>0</v>
      </c>
      <c r="Y191" s="261">
        <f t="shared" si="169"/>
        <v>570</v>
      </c>
      <c r="Z191" s="261">
        <f>IFERROR(VLOOKUP(B191,'55 Bike '!$B$7:$J$139,9,0),0)</f>
        <v>0</v>
      </c>
      <c r="AA191" s="261"/>
      <c r="AB191" s="73">
        <f t="shared" si="170"/>
        <v>570</v>
      </c>
      <c r="AC191" s="73">
        <f t="shared" si="171"/>
        <v>18430</v>
      </c>
      <c r="AD191" s="264" t="s">
        <v>23</v>
      </c>
      <c r="AE191" s="256" t="s">
        <v>673</v>
      </c>
      <c r="AF191" s="838"/>
      <c r="AG191" s="205"/>
      <c r="AH191" s="383"/>
      <c r="AI191" s="543"/>
      <c r="AJ191" s="548"/>
      <c r="AK191" s="548"/>
      <c r="AL191" s="198"/>
      <c r="AM191" s="320"/>
      <c r="AP191" s="198"/>
    </row>
    <row r="192" spans="1:43" s="61" customFormat="1" ht="24.95" customHeight="1">
      <c r="A192" s="253">
        <v>8</v>
      </c>
      <c r="B192" s="254" t="s">
        <v>668</v>
      </c>
      <c r="C192" s="255" t="s">
        <v>669</v>
      </c>
      <c r="D192" s="278" t="str">
        <f>VLOOKUP(B192,Attendance!$B$6:$D$385,3,0)</f>
        <v>Driver</v>
      </c>
      <c r="E192" s="278" t="s">
        <v>137</v>
      </c>
      <c r="F192" s="523">
        <v>45071</v>
      </c>
      <c r="G192" s="257">
        <f>VLOOKUP(B192,Attendance!$B$6:$G$386,6,0)</f>
        <v>31</v>
      </c>
      <c r="H192" s="258">
        <f>VLOOKUP(B$8:B$380,Attendance!$B$6:$L$386,11,0)</f>
        <v>0</v>
      </c>
      <c r="I192" s="257">
        <f t="shared" si="160"/>
        <v>31</v>
      </c>
      <c r="J192" s="258">
        <f t="shared" si="161"/>
        <v>645.16129032258061</v>
      </c>
      <c r="K192" s="72">
        <v>20000</v>
      </c>
      <c r="L192" s="72">
        <f t="shared" si="162"/>
        <v>12000</v>
      </c>
      <c r="M192" s="72">
        <f t="shared" si="163"/>
        <v>6000</v>
      </c>
      <c r="N192" s="72">
        <f t="shared" si="164"/>
        <v>1200</v>
      </c>
      <c r="O192" s="72">
        <f t="shared" si="165"/>
        <v>800</v>
      </c>
      <c r="P192" s="259"/>
      <c r="Q192" s="260">
        <f t="shared" si="166"/>
        <v>20000</v>
      </c>
      <c r="R192" s="260">
        <f t="shared" si="167"/>
        <v>20000</v>
      </c>
      <c r="S192" s="261"/>
      <c r="T192" s="261"/>
      <c r="U192" s="809"/>
      <c r="V192" s="263">
        <f t="shared" si="168"/>
        <v>20000</v>
      </c>
      <c r="W192" s="72"/>
      <c r="X192" s="261">
        <f>IFERROR(VLOOKUP(B192,'Lunch bill'!$B$6:$H$30,7,0),0)</f>
        <v>0</v>
      </c>
      <c r="Y192" s="261">
        <f t="shared" si="169"/>
        <v>600</v>
      </c>
      <c r="Z192" s="261">
        <f>IFERROR(VLOOKUP(B192,'55 Bike '!$B$7:$J$139,9,0),0)</f>
        <v>0</v>
      </c>
      <c r="AA192" s="261"/>
      <c r="AB192" s="73">
        <f t="shared" si="170"/>
        <v>600</v>
      </c>
      <c r="AC192" s="73">
        <f t="shared" si="171"/>
        <v>19400</v>
      </c>
      <c r="AD192" s="264" t="s">
        <v>23</v>
      </c>
      <c r="AE192" s="256" t="s">
        <v>714</v>
      </c>
      <c r="AF192" s="838"/>
      <c r="AG192" s="205"/>
      <c r="AH192" s="383"/>
      <c r="AI192" s="543"/>
      <c r="AJ192" s="548"/>
      <c r="AK192" s="548"/>
      <c r="AL192" s="198"/>
      <c r="AM192" s="320"/>
      <c r="AP192" s="198"/>
    </row>
    <row r="193" spans="1:43" s="61" customFormat="1" ht="24.95" customHeight="1">
      <c r="A193" s="253">
        <v>9</v>
      </c>
      <c r="B193" s="254" t="s">
        <v>922</v>
      </c>
      <c r="C193" s="255" t="s">
        <v>923</v>
      </c>
      <c r="D193" s="278" t="str">
        <f>VLOOKUP(B193,Attendance!$B$6:$D$385,3,0)</f>
        <v>Lowbed Driver</v>
      </c>
      <c r="E193" s="278" t="s">
        <v>137</v>
      </c>
      <c r="F193" s="523">
        <v>45193</v>
      </c>
      <c r="G193" s="257">
        <f>VLOOKUP(B193,Attendance!$B$6:$G$386,6,0)</f>
        <v>31</v>
      </c>
      <c r="H193" s="258">
        <f>VLOOKUP(B$8:B$380,Attendance!$B$6:$L$386,11,0)</f>
        <v>0</v>
      </c>
      <c r="I193" s="257">
        <f t="shared" si="160"/>
        <v>31</v>
      </c>
      <c r="J193" s="258">
        <f t="shared" si="161"/>
        <v>677.41935483870964</v>
      </c>
      <c r="K193" s="72">
        <v>21000</v>
      </c>
      <c r="L193" s="72">
        <f t="shared" si="162"/>
        <v>12600</v>
      </c>
      <c r="M193" s="72">
        <f t="shared" si="163"/>
        <v>6300</v>
      </c>
      <c r="N193" s="72">
        <f t="shared" si="164"/>
        <v>1260</v>
      </c>
      <c r="O193" s="72">
        <f t="shared" si="165"/>
        <v>840</v>
      </c>
      <c r="P193" s="259"/>
      <c r="Q193" s="260">
        <f t="shared" si="166"/>
        <v>21000</v>
      </c>
      <c r="R193" s="260">
        <f t="shared" si="167"/>
        <v>21000</v>
      </c>
      <c r="S193" s="261"/>
      <c r="T193" s="261"/>
      <c r="U193" s="809"/>
      <c r="V193" s="263">
        <f t="shared" si="168"/>
        <v>21000</v>
      </c>
      <c r="W193" s="72"/>
      <c r="X193" s="261">
        <f>IFERROR(VLOOKUP(B193,'Lunch bill'!$B$6:$H$30,7,0),0)</f>
        <v>0</v>
      </c>
      <c r="Y193" s="261">
        <f t="shared" si="169"/>
        <v>630</v>
      </c>
      <c r="Z193" s="261">
        <f>IFERROR(VLOOKUP(B193,'55 Bike '!$B$7:$J$139,9,0),0)</f>
        <v>0</v>
      </c>
      <c r="AA193" s="261"/>
      <c r="AB193" s="73">
        <f t="shared" si="170"/>
        <v>630</v>
      </c>
      <c r="AC193" s="73">
        <f t="shared" si="171"/>
        <v>20370</v>
      </c>
      <c r="AD193" s="264" t="s">
        <v>23</v>
      </c>
      <c r="AE193" s="256" t="s">
        <v>1696</v>
      </c>
      <c r="AF193" s="838"/>
      <c r="AG193" s="205"/>
      <c r="AH193" s="383"/>
      <c r="AI193" s="543"/>
      <c r="AJ193" s="548"/>
      <c r="AK193" s="549"/>
      <c r="AL193" s="198"/>
      <c r="AM193" s="320"/>
      <c r="AP193" s="198"/>
    </row>
    <row r="194" spans="1:43" s="61" customFormat="1" ht="24.95" customHeight="1">
      <c r="A194" s="253">
        <v>10</v>
      </c>
      <c r="B194" s="254" t="s">
        <v>698</v>
      </c>
      <c r="C194" s="255" t="s">
        <v>699</v>
      </c>
      <c r="D194" s="278" t="str">
        <f>VLOOKUP(B194,Attendance!$B$6:$D$385,3,0)</f>
        <v>Driver</v>
      </c>
      <c r="E194" s="278" t="s">
        <v>137</v>
      </c>
      <c r="F194" s="523">
        <v>45088</v>
      </c>
      <c r="G194" s="257">
        <f>VLOOKUP(B194,Attendance!$B$6:$G$386,6,0)</f>
        <v>31</v>
      </c>
      <c r="H194" s="258">
        <f>VLOOKUP(B$8:B$380,Attendance!$B$6:$L$386,11,0)</f>
        <v>0</v>
      </c>
      <c r="I194" s="257">
        <f t="shared" si="160"/>
        <v>31</v>
      </c>
      <c r="J194" s="258">
        <f t="shared" si="161"/>
        <v>645.16129032258061</v>
      </c>
      <c r="K194" s="72">
        <v>20000</v>
      </c>
      <c r="L194" s="72">
        <f t="shared" si="162"/>
        <v>12000</v>
      </c>
      <c r="M194" s="72">
        <f t="shared" si="163"/>
        <v>6000</v>
      </c>
      <c r="N194" s="72">
        <f t="shared" si="164"/>
        <v>1200</v>
      </c>
      <c r="O194" s="72">
        <f t="shared" si="165"/>
        <v>800</v>
      </c>
      <c r="P194" s="259"/>
      <c r="Q194" s="260">
        <f t="shared" si="166"/>
        <v>20000</v>
      </c>
      <c r="R194" s="260">
        <f t="shared" si="167"/>
        <v>20000</v>
      </c>
      <c r="S194" s="261"/>
      <c r="T194" s="261"/>
      <c r="U194" s="809"/>
      <c r="V194" s="263">
        <f t="shared" si="168"/>
        <v>20000</v>
      </c>
      <c r="W194" s="72">
        <v>0</v>
      </c>
      <c r="X194" s="261">
        <f>IFERROR(VLOOKUP(B194,'Lunch bill'!$B$6:$H$30,7,0),0)</f>
        <v>0</v>
      </c>
      <c r="Y194" s="261">
        <f t="shared" si="169"/>
        <v>600</v>
      </c>
      <c r="Z194" s="261">
        <f>IFERROR(VLOOKUP(B194,'55 Bike '!$B$7:$J$139,9,0),0)</f>
        <v>0</v>
      </c>
      <c r="AA194" s="261"/>
      <c r="AB194" s="73">
        <f t="shared" si="170"/>
        <v>600</v>
      </c>
      <c r="AC194" s="73">
        <f t="shared" si="171"/>
        <v>19400</v>
      </c>
      <c r="AD194" s="264" t="s">
        <v>23</v>
      </c>
      <c r="AE194" s="256" t="s">
        <v>711</v>
      </c>
      <c r="AF194" s="838"/>
      <c r="AG194" s="205"/>
      <c r="AH194" s="383"/>
      <c r="AI194" s="543"/>
      <c r="AJ194" s="548"/>
      <c r="AK194" s="548"/>
      <c r="AL194" s="198"/>
      <c r="AM194" s="320"/>
      <c r="AP194" s="198"/>
    </row>
    <row r="195" spans="1:43" s="61" customFormat="1" ht="24.95" customHeight="1">
      <c r="A195" s="253">
        <v>11</v>
      </c>
      <c r="B195" s="254" t="s">
        <v>1143</v>
      </c>
      <c r="C195" s="255" t="s">
        <v>1144</v>
      </c>
      <c r="D195" s="278" t="str">
        <f>VLOOKUP(B195,Attendance!$B$6:$D$385,3,0)</f>
        <v>Driver</v>
      </c>
      <c r="E195" s="278" t="s">
        <v>137</v>
      </c>
      <c r="F195" s="523">
        <v>43452</v>
      </c>
      <c r="G195" s="257">
        <f>VLOOKUP(B195,Attendance!$B$6:$G$386,6,0)</f>
        <v>31</v>
      </c>
      <c r="H195" s="258">
        <f>VLOOKUP(B$8:B$380,Attendance!$B$6:$L$386,11,0)</f>
        <v>0</v>
      </c>
      <c r="I195" s="257">
        <f t="shared" si="160"/>
        <v>31</v>
      </c>
      <c r="J195" s="258">
        <f t="shared" si="161"/>
        <v>709.67741935483866</v>
      </c>
      <c r="K195" s="72">
        <v>22000</v>
      </c>
      <c r="L195" s="72">
        <f t="shared" si="162"/>
        <v>13200</v>
      </c>
      <c r="M195" s="72">
        <f t="shared" si="163"/>
        <v>6600</v>
      </c>
      <c r="N195" s="72">
        <f t="shared" si="164"/>
        <v>1320</v>
      </c>
      <c r="O195" s="72">
        <f t="shared" si="165"/>
        <v>880</v>
      </c>
      <c r="P195" s="259"/>
      <c r="Q195" s="260">
        <f t="shared" si="166"/>
        <v>22000</v>
      </c>
      <c r="R195" s="260">
        <f t="shared" si="167"/>
        <v>22000</v>
      </c>
      <c r="S195" s="261"/>
      <c r="T195" s="261"/>
      <c r="U195" s="809"/>
      <c r="V195" s="263">
        <f t="shared" si="168"/>
        <v>22000</v>
      </c>
      <c r="W195" s="72">
        <v>0</v>
      </c>
      <c r="X195" s="261">
        <f>IFERROR(VLOOKUP(B195,'Lunch bill'!$B$6:$H$30,7,0),0)</f>
        <v>0</v>
      </c>
      <c r="Y195" s="261">
        <f t="shared" si="169"/>
        <v>660</v>
      </c>
      <c r="Z195" s="261">
        <f>IFERROR(VLOOKUP(B195,'55 Bike '!$B$7:$J$139,9,0),0)</f>
        <v>0</v>
      </c>
      <c r="AA195" s="261"/>
      <c r="AB195" s="73">
        <f t="shared" si="170"/>
        <v>660</v>
      </c>
      <c r="AC195" s="73">
        <f t="shared" si="171"/>
        <v>21340</v>
      </c>
      <c r="AD195" s="264" t="s">
        <v>23</v>
      </c>
      <c r="AE195" s="256" t="s">
        <v>1150</v>
      </c>
      <c r="AF195" s="838"/>
      <c r="AG195" s="205"/>
      <c r="AH195" s="383"/>
      <c r="AI195" s="543"/>
      <c r="AJ195" s="548"/>
      <c r="AK195" s="548"/>
      <c r="AL195" s="198"/>
      <c r="AM195" s="320"/>
      <c r="AP195" s="198"/>
    </row>
    <row r="196" spans="1:43" s="61" customFormat="1" ht="24.95" customHeight="1">
      <c r="A196" s="253">
        <v>12</v>
      </c>
      <c r="B196" s="254" t="s">
        <v>1207</v>
      </c>
      <c r="C196" s="255" t="s">
        <v>1208</v>
      </c>
      <c r="D196" s="278" t="str">
        <f>VLOOKUP(B196,Attendance!$B$6:$D$385,3,0)</f>
        <v>Lowbed Driver</v>
      </c>
      <c r="E196" s="278" t="s">
        <v>137</v>
      </c>
      <c r="F196" s="523">
        <v>45356</v>
      </c>
      <c r="G196" s="257">
        <f>VLOOKUP(B196,Attendance!$B$6:$G$386,6,0)</f>
        <v>31</v>
      </c>
      <c r="H196" s="258">
        <f>VLOOKUP(B$8:B$380,Attendance!$B$6:$L$386,11,0)</f>
        <v>0</v>
      </c>
      <c r="I196" s="257">
        <f t="shared" si="160"/>
        <v>31</v>
      </c>
      <c r="J196" s="258">
        <f t="shared" si="161"/>
        <v>645.16129032258061</v>
      </c>
      <c r="K196" s="72">
        <v>20000</v>
      </c>
      <c r="L196" s="72">
        <f t="shared" si="162"/>
        <v>12000</v>
      </c>
      <c r="M196" s="72">
        <f t="shared" si="163"/>
        <v>6000</v>
      </c>
      <c r="N196" s="72">
        <f t="shared" si="164"/>
        <v>1200</v>
      </c>
      <c r="O196" s="72">
        <f t="shared" si="165"/>
        <v>800</v>
      </c>
      <c r="P196" s="259"/>
      <c r="Q196" s="260">
        <f t="shared" si="166"/>
        <v>20000</v>
      </c>
      <c r="R196" s="260">
        <f t="shared" si="167"/>
        <v>20000</v>
      </c>
      <c r="S196" s="261"/>
      <c r="T196" s="261"/>
      <c r="U196" s="809"/>
      <c r="V196" s="263">
        <f t="shared" si="168"/>
        <v>20000</v>
      </c>
      <c r="W196" s="72">
        <v>0</v>
      </c>
      <c r="X196" s="261">
        <f>IFERROR(VLOOKUP(B196,'Lunch bill'!$B$6:$H$30,7,0),0)</f>
        <v>0</v>
      </c>
      <c r="Y196" s="261">
        <f t="shared" si="169"/>
        <v>0</v>
      </c>
      <c r="Z196" s="261">
        <f>IFERROR(VLOOKUP(B196,'55 Bike '!$B$7:$J$139,9,0),0)</f>
        <v>0</v>
      </c>
      <c r="AA196" s="261"/>
      <c r="AB196" s="73">
        <f t="shared" si="170"/>
        <v>0</v>
      </c>
      <c r="AC196" s="73">
        <f t="shared" si="171"/>
        <v>20000</v>
      </c>
      <c r="AD196" s="264" t="s">
        <v>23</v>
      </c>
      <c r="AE196" s="256" t="s">
        <v>1875</v>
      </c>
      <c r="AF196" s="838"/>
      <c r="AG196" s="205"/>
      <c r="AH196" s="383"/>
      <c r="AI196" s="543"/>
      <c r="AJ196" s="548"/>
      <c r="AK196" s="549"/>
      <c r="AL196" s="198"/>
      <c r="AM196" s="320"/>
      <c r="AP196" s="198"/>
    </row>
    <row r="197" spans="1:43" s="61" customFormat="1" ht="24.95" customHeight="1">
      <c r="A197" s="253">
        <v>13</v>
      </c>
      <c r="B197" s="254" t="s">
        <v>1229</v>
      </c>
      <c r="C197" s="255" t="s">
        <v>1230</v>
      </c>
      <c r="D197" s="278" t="str">
        <f>VLOOKUP(B197,Attendance!$B$6:$D$385,3,0)</f>
        <v>Driver (Van)</v>
      </c>
      <c r="E197" s="278" t="s">
        <v>137</v>
      </c>
      <c r="F197" s="523">
        <v>45367</v>
      </c>
      <c r="G197" s="257">
        <f>VLOOKUP(B197,Attendance!$B$6:$G$386,6,0)</f>
        <v>31</v>
      </c>
      <c r="H197" s="258">
        <f>VLOOKUP(B$8:B$380,Attendance!$B$6:$L$386,11,0)</f>
        <v>0</v>
      </c>
      <c r="I197" s="257">
        <f t="shared" si="160"/>
        <v>31</v>
      </c>
      <c r="J197" s="258">
        <f t="shared" si="161"/>
        <v>596.77419354838707</v>
      </c>
      <c r="K197" s="72">
        <v>18500</v>
      </c>
      <c r="L197" s="72">
        <f t="shared" si="162"/>
        <v>11100</v>
      </c>
      <c r="M197" s="72">
        <f t="shared" si="163"/>
        <v>5550</v>
      </c>
      <c r="N197" s="72">
        <f t="shared" si="164"/>
        <v>1110</v>
      </c>
      <c r="O197" s="72">
        <f t="shared" si="165"/>
        <v>740</v>
      </c>
      <c r="P197" s="259"/>
      <c r="Q197" s="260">
        <f t="shared" si="166"/>
        <v>18500</v>
      </c>
      <c r="R197" s="260">
        <f t="shared" si="167"/>
        <v>18500</v>
      </c>
      <c r="S197" s="261"/>
      <c r="T197" s="261"/>
      <c r="U197" s="809"/>
      <c r="V197" s="263">
        <f t="shared" si="168"/>
        <v>18500</v>
      </c>
      <c r="W197" s="72">
        <v>0</v>
      </c>
      <c r="X197" s="261">
        <f>IFERROR(VLOOKUP(B197,'Lunch bill'!$B$6:$H$30,7,0),0)</f>
        <v>0</v>
      </c>
      <c r="Y197" s="261">
        <f t="shared" si="169"/>
        <v>0</v>
      </c>
      <c r="Z197" s="261">
        <f>IFERROR(VLOOKUP(B197,'55 Bike '!$B$7:$J$139,9,0),0)</f>
        <v>0</v>
      </c>
      <c r="AA197" s="261"/>
      <c r="AB197" s="73">
        <f t="shared" si="170"/>
        <v>0</v>
      </c>
      <c r="AC197" s="73">
        <f t="shared" si="171"/>
        <v>18500</v>
      </c>
      <c r="AD197" s="264" t="s">
        <v>23</v>
      </c>
      <c r="AE197" s="256" t="s">
        <v>1698</v>
      </c>
      <c r="AF197" s="838"/>
      <c r="AG197" s="205"/>
      <c r="AH197" s="383"/>
      <c r="AI197" s="543"/>
      <c r="AJ197" s="548"/>
      <c r="AK197" s="549"/>
      <c r="AL197" s="198"/>
      <c r="AM197" s="320"/>
      <c r="AP197" s="198"/>
    </row>
    <row r="198" spans="1:43" s="61" customFormat="1" ht="24.95" customHeight="1">
      <c r="A198" s="253">
        <v>14</v>
      </c>
      <c r="B198" s="254" t="s">
        <v>1232</v>
      </c>
      <c r="C198" s="255" t="s">
        <v>1233</v>
      </c>
      <c r="D198" s="278" t="str">
        <f>VLOOKUP(B198,Attendance!$B$6:$D$385,3,0)</f>
        <v>Helper (Lowbed)</v>
      </c>
      <c r="E198" s="278" t="s">
        <v>137</v>
      </c>
      <c r="F198" s="523">
        <v>45367</v>
      </c>
      <c r="G198" s="257">
        <f>VLOOKUP(B198,Attendance!$B$6:$G$386,6,0)</f>
        <v>31</v>
      </c>
      <c r="H198" s="258">
        <f>VLOOKUP(B$8:B$380,Attendance!$B$6:$L$386,11,0)</f>
        <v>0</v>
      </c>
      <c r="I198" s="257">
        <f t="shared" si="160"/>
        <v>31</v>
      </c>
      <c r="J198" s="258">
        <f t="shared" si="161"/>
        <v>322.58064516129031</v>
      </c>
      <c r="K198" s="72">
        <v>10000</v>
      </c>
      <c r="L198" s="72">
        <f t="shared" si="162"/>
        <v>6000</v>
      </c>
      <c r="M198" s="72">
        <f t="shared" si="163"/>
        <v>3000</v>
      </c>
      <c r="N198" s="72">
        <f t="shared" si="164"/>
        <v>600</v>
      </c>
      <c r="O198" s="72">
        <f t="shared" si="165"/>
        <v>400</v>
      </c>
      <c r="P198" s="259"/>
      <c r="Q198" s="260">
        <f t="shared" si="166"/>
        <v>10000</v>
      </c>
      <c r="R198" s="260">
        <f t="shared" si="167"/>
        <v>10000</v>
      </c>
      <c r="S198" s="261"/>
      <c r="T198" s="261"/>
      <c r="U198" s="809"/>
      <c r="V198" s="263">
        <f t="shared" si="168"/>
        <v>10000</v>
      </c>
      <c r="W198" s="72">
        <v>0</v>
      </c>
      <c r="X198" s="261">
        <f>IFERROR(VLOOKUP(B198,'Lunch bill'!$B$6:$H$30,7,0),0)</f>
        <v>0</v>
      </c>
      <c r="Y198" s="261">
        <f t="shared" si="169"/>
        <v>0</v>
      </c>
      <c r="Z198" s="261">
        <f>IFERROR(VLOOKUP(B198,'55 Bike '!$B$7:$J$139,9,0),0)</f>
        <v>0</v>
      </c>
      <c r="AA198" s="261"/>
      <c r="AB198" s="73">
        <f t="shared" si="170"/>
        <v>0</v>
      </c>
      <c r="AC198" s="73">
        <f t="shared" si="171"/>
        <v>10000</v>
      </c>
      <c r="AD198" s="264" t="s">
        <v>25</v>
      </c>
      <c r="AE198" s="256"/>
      <c r="AF198" s="838"/>
      <c r="AG198" s="205"/>
      <c r="AH198" s="383"/>
      <c r="AI198" s="543"/>
      <c r="AJ198" s="548"/>
      <c r="AK198" s="549"/>
      <c r="AL198" s="198"/>
      <c r="AM198" s="320"/>
      <c r="AP198" s="198"/>
    </row>
    <row r="199" spans="1:43" s="61" customFormat="1" ht="24.95" customHeight="1">
      <c r="A199" s="253">
        <v>15</v>
      </c>
      <c r="B199" s="254" t="s">
        <v>1375</v>
      </c>
      <c r="C199" s="255" t="s">
        <v>1376</v>
      </c>
      <c r="D199" s="278" t="s">
        <v>466</v>
      </c>
      <c r="E199" s="278" t="s">
        <v>137</v>
      </c>
      <c r="F199" s="523">
        <v>45444</v>
      </c>
      <c r="G199" s="257">
        <f>VLOOKUP(B199,Attendance!$B$6:$G$386,6,0)</f>
        <v>31</v>
      </c>
      <c r="H199" s="258">
        <f>VLOOKUP(B$8:B$380,Attendance!$B$6:$L$386,11,0)</f>
        <v>0</v>
      </c>
      <c r="I199" s="257">
        <f t="shared" si="160"/>
        <v>31</v>
      </c>
      <c r="J199" s="258">
        <f t="shared" si="161"/>
        <v>580.64516129032256</v>
      </c>
      <c r="K199" s="72">
        <v>18000</v>
      </c>
      <c r="L199" s="72">
        <f t="shared" si="162"/>
        <v>10800</v>
      </c>
      <c r="M199" s="72">
        <f t="shared" si="163"/>
        <v>5400</v>
      </c>
      <c r="N199" s="72">
        <f t="shared" si="164"/>
        <v>1080</v>
      </c>
      <c r="O199" s="72">
        <f t="shared" si="165"/>
        <v>720</v>
      </c>
      <c r="P199" s="259"/>
      <c r="Q199" s="260">
        <f t="shared" si="166"/>
        <v>18000</v>
      </c>
      <c r="R199" s="260">
        <f t="shared" si="167"/>
        <v>18000</v>
      </c>
      <c r="S199" s="261"/>
      <c r="T199" s="261"/>
      <c r="U199" s="809"/>
      <c r="V199" s="263">
        <f t="shared" si="168"/>
        <v>18000</v>
      </c>
      <c r="W199" s="72">
        <v>0</v>
      </c>
      <c r="X199" s="261">
        <f>IFERROR(VLOOKUP(B199,'Lunch bill'!$B$6:$H$30,7,0),0)</f>
        <v>0</v>
      </c>
      <c r="Y199" s="261">
        <f t="shared" si="169"/>
        <v>0</v>
      </c>
      <c r="Z199" s="261">
        <f>IFERROR(VLOOKUP(B199,'55 Bike '!$B$7:$J$139,9,0),0)</f>
        <v>0</v>
      </c>
      <c r="AA199" s="261"/>
      <c r="AB199" s="73">
        <f t="shared" si="170"/>
        <v>0</v>
      </c>
      <c r="AC199" s="73">
        <f t="shared" si="171"/>
        <v>18000</v>
      </c>
      <c r="AD199" s="264" t="s">
        <v>23</v>
      </c>
      <c r="AE199" s="256" t="s">
        <v>1699</v>
      </c>
      <c r="AF199" s="838"/>
      <c r="AG199" s="205"/>
      <c r="AH199" s="383"/>
      <c r="AI199" s="543"/>
      <c r="AJ199" s="548"/>
      <c r="AK199" s="549"/>
      <c r="AL199" s="198"/>
      <c r="AM199" s="320"/>
      <c r="AP199" s="198"/>
    </row>
    <row r="200" spans="1:43" s="61" customFormat="1" ht="24.95" customHeight="1">
      <c r="A200" s="253">
        <v>16</v>
      </c>
      <c r="B200" s="254" t="s">
        <v>1456</v>
      </c>
      <c r="C200" s="255" t="s">
        <v>1457</v>
      </c>
      <c r="D200" s="278" t="s">
        <v>466</v>
      </c>
      <c r="E200" s="278" t="s">
        <v>137</v>
      </c>
      <c r="F200" s="523">
        <v>45474</v>
      </c>
      <c r="G200" s="257">
        <f>VLOOKUP(B200,Attendance!$B$6:$G$386,6,0)</f>
        <v>31</v>
      </c>
      <c r="H200" s="258">
        <f>VLOOKUP(B$8:B$380,Attendance!$B$6:$L$386,11,0)</f>
        <v>0</v>
      </c>
      <c r="I200" s="257">
        <f t="shared" si="160"/>
        <v>31</v>
      </c>
      <c r="J200" s="258">
        <f t="shared" si="161"/>
        <v>645.16129032258061</v>
      </c>
      <c r="K200" s="72">
        <v>20000</v>
      </c>
      <c r="L200" s="72">
        <f t="shared" si="162"/>
        <v>12000</v>
      </c>
      <c r="M200" s="72">
        <f t="shared" si="163"/>
        <v>6000</v>
      </c>
      <c r="N200" s="72">
        <f t="shared" si="164"/>
        <v>1200</v>
      </c>
      <c r="O200" s="72">
        <f t="shared" si="165"/>
        <v>800</v>
      </c>
      <c r="P200" s="259"/>
      <c r="Q200" s="260">
        <f t="shared" si="166"/>
        <v>20000</v>
      </c>
      <c r="R200" s="260">
        <f t="shared" si="167"/>
        <v>20000</v>
      </c>
      <c r="S200" s="261"/>
      <c r="T200" s="261"/>
      <c r="U200" s="809"/>
      <c r="V200" s="263">
        <f t="shared" si="168"/>
        <v>20000</v>
      </c>
      <c r="W200" s="72">
        <v>0</v>
      </c>
      <c r="X200" s="261">
        <f>IFERROR(VLOOKUP(B200,'Lunch bill'!$B$6:$H$30,7,0),0)</f>
        <v>0</v>
      </c>
      <c r="Y200" s="261">
        <f t="shared" si="169"/>
        <v>0</v>
      </c>
      <c r="Z200" s="261">
        <f>IFERROR(VLOOKUP(B200,'55 Bike '!$B$7:$J$139,9,0),0)</f>
        <v>0</v>
      </c>
      <c r="AA200" s="261"/>
      <c r="AB200" s="73">
        <f t="shared" si="170"/>
        <v>0</v>
      </c>
      <c r="AC200" s="73">
        <f t="shared" si="171"/>
        <v>20000</v>
      </c>
      <c r="AD200" s="264" t="s">
        <v>23</v>
      </c>
      <c r="AE200" s="256" t="s">
        <v>1637</v>
      </c>
      <c r="AF200" s="838"/>
      <c r="AG200" s="205"/>
      <c r="AH200" s="383"/>
      <c r="AI200" s="543"/>
      <c r="AJ200" s="548"/>
      <c r="AK200" s="549"/>
      <c r="AL200" s="198"/>
      <c r="AM200" s="320"/>
      <c r="AP200" s="198"/>
    </row>
    <row r="201" spans="1:43" s="61" customFormat="1" ht="24.95" customHeight="1">
      <c r="A201" s="253">
        <v>17</v>
      </c>
      <c r="B201" s="254" t="s">
        <v>1678</v>
      </c>
      <c r="C201" s="255" t="s">
        <v>1679</v>
      </c>
      <c r="D201" s="278" t="s">
        <v>466</v>
      </c>
      <c r="E201" s="278" t="s">
        <v>137</v>
      </c>
      <c r="F201" s="523">
        <v>45585</v>
      </c>
      <c r="G201" s="257">
        <f>VLOOKUP(B201,Attendance!$B$6:$G$386,6,0)</f>
        <v>31</v>
      </c>
      <c r="H201" s="258">
        <f>VLOOKUP(B$8:B$380,Attendance!$B$6:$L$386,11,0)</f>
        <v>0</v>
      </c>
      <c r="I201" s="257">
        <f t="shared" ref="I201" si="172">G201-H201</f>
        <v>31</v>
      </c>
      <c r="J201" s="258">
        <f t="shared" si="161"/>
        <v>612.90322580645159</v>
      </c>
      <c r="K201" s="72">
        <v>19000</v>
      </c>
      <c r="L201" s="72">
        <f t="shared" ref="L201" si="173">K201*60%</f>
        <v>11400</v>
      </c>
      <c r="M201" s="72">
        <f t="shared" ref="M201" si="174">K201*30%</f>
        <v>5700</v>
      </c>
      <c r="N201" s="72">
        <f t="shared" ref="N201" si="175">K201*6%</f>
        <v>1140</v>
      </c>
      <c r="O201" s="72">
        <f t="shared" ref="O201" si="176">K201*4%</f>
        <v>760</v>
      </c>
      <c r="P201" s="259"/>
      <c r="Q201" s="260">
        <f t="shared" ref="Q201" si="177">SUM(L201:P201)</f>
        <v>19000</v>
      </c>
      <c r="R201" s="260">
        <f t="shared" ref="R201" si="178">ROUND(I201*J201,)</f>
        <v>19000</v>
      </c>
      <c r="S201" s="261"/>
      <c r="T201" s="261"/>
      <c r="U201" s="809"/>
      <c r="V201" s="263">
        <f t="shared" ref="V201" si="179">SUM(R201:U201)</f>
        <v>19000</v>
      </c>
      <c r="W201" s="72">
        <v>0</v>
      </c>
      <c r="X201" s="261">
        <f>IFERROR(VLOOKUP(B201,'Lunch bill'!$B$6:$H$30,7,0),0)</f>
        <v>0</v>
      </c>
      <c r="Y201" s="261">
        <f t="shared" ref="Y201" si="180">ROUND(IF($AH$4-F201&gt;=360,L201*5%,0),0)</f>
        <v>0</v>
      </c>
      <c r="Z201" s="261">
        <f>IFERROR(VLOOKUP(B201,'55 Bike '!$B$7:$J$139,9,0),0)</f>
        <v>0</v>
      </c>
      <c r="AA201" s="261"/>
      <c r="AB201" s="73">
        <f t="shared" ref="AB201" si="181">SUM(W201:AA201)</f>
        <v>0</v>
      </c>
      <c r="AC201" s="73">
        <f t="shared" ref="AC201" si="182">ROUND(V201-AB201,0)</f>
        <v>19000</v>
      </c>
      <c r="AD201" s="264" t="s">
        <v>25</v>
      </c>
      <c r="AE201" s="256"/>
      <c r="AF201" s="838"/>
      <c r="AG201" s="205"/>
      <c r="AH201" s="383"/>
      <c r="AI201" s="543"/>
      <c r="AJ201" s="548"/>
      <c r="AK201" s="549"/>
      <c r="AL201" s="198"/>
      <c r="AM201" s="320"/>
      <c r="AP201" s="198"/>
    </row>
    <row r="202" spans="1:43" s="61" customFormat="1" ht="18.75" customHeight="1">
      <c r="A202" s="101" t="s">
        <v>67</v>
      </c>
      <c r="B202" s="102"/>
      <c r="C202" s="103"/>
      <c r="D202" s="282"/>
      <c r="E202" s="282"/>
      <c r="F202" s="526"/>
      <c r="G202" s="104"/>
      <c r="H202" s="104"/>
      <c r="I202" s="104"/>
      <c r="J202" s="104"/>
      <c r="K202" s="107">
        <f t="shared" ref="K202:AC202" si="183">SUM(K185:K201)</f>
        <v>335500</v>
      </c>
      <c r="L202" s="107">
        <f t="shared" si="183"/>
        <v>201300</v>
      </c>
      <c r="M202" s="107">
        <f t="shared" si="183"/>
        <v>100650</v>
      </c>
      <c r="N202" s="107">
        <f t="shared" si="183"/>
        <v>20130</v>
      </c>
      <c r="O202" s="107">
        <f t="shared" si="183"/>
        <v>13420</v>
      </c>
      <c r="P202" s="107">
        <f t="shared" si="183"/>
        <v>0</v>
      </c>
      <c r="Q202" s="107">
        <f t="shared" si="183"/>
        <v>335500</v>
      </c>
      <c r="R202" s="107">
        <f t="shared" si="183"/>
        <v>335500</v>
      </c>
      <c r="S202" s="107">
        <f t="shared" si="183"/>
        <v>0</v>
      </c>
      <c r="T202" s="107">
        <f t="shared" si="183"/>
        <v>0</v>
      </c>
      <c r="U202" s="107">
        <f t="shared" si="183"/>
        <v>0</v>
      </c>
      <c r="V202" s="107">
        <f t="shared" si="183"/>
        <v>335500</v>
      </c>
      <c r="W202" s="107">
        <f t="shared" si="183"/>
        <v>0</v>
      </c>
      <c r="X202" s="107">
        <f t="shared" si="183"/>
        <v>0</v>
      </c>
      <c r="Y202" s="107">
        <f t="shared" si="183"/>
        <v>6900</v>
      </c>
      <c r="Z202" s="107">
        <f t="shared" si="183"/>
        <v>0</v>
      </c>
      <c r="AA202" s="107">
        <f t="shared" si="183"/>
        <v>5000</v>
      </c>
      <c r="AB202" s="107">
        <f t="shared" si="183"/>
        <v>11900</v>
      </c>
      <c r="AC202" s="107">
        <f t="shared" si="183"/>
        <v>323600</v>
      </c>
      <c r="AD202" s="107"/>
      <c r="AE202" s="107"/>
      <c r="AF202" s="838"/>
      <c r="AG202" s="797"/>
      <c r="AH202" s="383"/>
      <c r="AI202" s="543"/>
      <c r="AJ202" s="548"/>
      <c r="AK202" s="549"/>
      <c r="AL202" s="198"/>
      <c r="AM202" s="320"/>
      <c r="AP202" s="198"/>
    </row>
    <row r="203" spans="1:43" s="47" customFormat="1" ht="27.75" customHeight="1">
      <c r="A203" s="89" t="s">
        <v>319</v>
      </c>
      <c r="B203" s="90"/>
      <c r="C203" s="90"/>
      <c r="D203" s="281"/>
      <c r="E203" s="499"/>
      <c r="F203" s="527"/>
      <c r="G203" s="268"/>
      <c r="H203" s="267"/>
      <c r="I203" s="90"/>
      <c r="J203" s="90"/>
      <c r="K203" s="268"/>
      <c r="L203" s="268"/>
      <c r="M203" s="268"/>
      <c r="N203" s="268"/>
      <c r="O203" s="268"/>
      <c r="P203" s="90"/>
      <c r="Q203" s="90"/>
      <c r="R203" s="90"/>
      <c r="S203" s="90"/>
      <c r="T203" s="90"/>
      <c r="U203" s="268"/>
      <c r="V203" s="90"/>
      <c r="W203" s="90"/>
      <c r="X203" s="268"/>
      <c r="Y203" s="267"/>
      <c r="Z203" s="268"/>
      <c r="AA203" s="268"/>
      <c r="AB203" s="268"/>
      <c r="AC203" s="268"/>
      <c r="AD203" s="90"/>
      <c r="AE203" s="91"/>
      <c r="AF203" s="838"/>
      <c r="AG203" s="90"/>
      <c r="AH203" s="383"/>
      <c r="AI203" s="543"/>
      <c r="AJ203" s="548"/>
      <c r="AK203" s="549"/>
      <c r="AL203" s="198"/>
      <c r="AM203" s="320"/>
      <c r="AN203" s="61"/>
      <c r="AO203" s="61"/>
      <c r="AP203" s="198"/>
      <c r="AQ203" s="61"/>
    </row>
    <row r="204" spans="1:43" s="61" customFormat="1" ht="30" customHeight="1">
      <c r="A204" s="501">
        <v>1</v>
      </c>
      <c r="B204" s="502" t="s">
        <v>320</v>
      </c>
      <c r="C204" s="329" t="s">
        <v>321</v>
      </c>
      <c r="D204" s="330" t="str">
        <f>VLOOKUP(B204,Attendance!$B$6:$D$385,3,0)</f>
        <v>Store Officer</v>
      </c>
      <c r="E204" s="342" t="s">
        <v>347</v>
      </c>
      <c r="F204" s="522">
        <v>44674</v>
      </c>
      <c r="G204" s="257">
        <f>VLOOKUP(B204,Attendance!$B$6:$G$386,6,0)</f>
        <v>31</v>
      </c>
      <c r="H204" s="258">
        <f>VLOOKUP(B$8:B$380,Attendance!$B$6:$L$386,11,0)</f>
        <v>0</v>
      </c>
      <c r="I204" s="286">
        <f t="shared" ref="I204:I224" si="184">G204-H204</f>
        <v>31</v>
      </c>
      <c r="J204" s="332">
        <f t="shared" ref="J204:J224" si="185">Q204/G204</f>
        <v>903.22580645161293</v>
      </c>
      <c r="K204" s="72">
        <v>28000</v>
      </c>
      <c r="L204" s="192">
        <f t="shared" ref="L204:L224" si="186">K204*60%</f>
        <v>16800</v>
      </c>
      <c r="M204" s="192">
        <f t="shared" ref="M204:M224" si="187">K204*30%</f>
        <v>8400</v>
      </c>
      <c r="N204" s="192">
        <f t="shared" ref="N204:N224" si="188">K204*6%</f>
        <v>1680</v>
      </c>
      <c r="O204" s="192">
        <f t="shared" ref="O204:O224" si="189">K204*4%</f>
        <v>1120</v>
      </c>
      <c r="P204" s="333">
        <v>0</v>
      </c>
      <c r="Q204" s="334">
        <f t="shared" ref="Q204:Q224" si="190">SUM(L204:P204)</f>
        <v>28000</v>
      </c>
      <c r="R204" s="334">
        <f t="shared" ref="R204:R224" si="191">ROUND(I204*J204,)</f>
        <v>28000</v>
      </c>
      <c r="S204" s="393"/>
      <c r="T204" s="393"/>
      <c r="U204" s="809"/>
      <c r="V204" s="335">
        <f t="shared" ref="V204:V224" si="192">SUM(R204:U204)</f>
        <v>28000</v>
      </c>
      <c r="W204" s="58">
        <v>0</v>
      </c>
      <c r="X204" s="261">
        <f>IFERROR(VLOOKUP(B204,'Lunch bill'!$B$6:$H$30,7,0),0)</f>
        <v>0</v>
      </c>
      <c r="Y204" s="261">
        <f t="shared" ref="Y204:Y224" si="193">ROUND(IF($AH$4-F204&gt;=360,L204*5%,0),0)</f>
        <v>840</v>
      </c>
      <c r="Z204" s="261">
        <f>IFERROR(VLOOKUP(B204,'55 Bike '!$B$7:$J$139,9,0),0)</f>
        <v>0</v>
      </c>
      <c r="AA204" s="337"/>
      <c r="AB204" s="193">
        <f t="shared" ref="AB204:AB224" si="194">SUM(W204:AA204)</f>
        <v>840</v>
      </c>
      <c r="AC204" s="193">
        <f t="shared" ref="AC204:AC224" si="195">ROUND(V204-AB204,0)</f>
        <v>27160</v>
      </c>
      <c r="AD204" s="504" t="s">
        <v>23</v>
      </c>
      <c r="AE204" s="331" t="s">
        <v>322</v>
      </c>
      <c r="AF204" s="838"/>
      <c r="AG204" s="205"/>
      <c r="AH204" s="383"/>
      <c r="AI204" s="543"/>
      <c r="AJ204" s="548"/>
      <c r="AK204" s="548"/>
      <c r="AL204" s="198"/>
      <c r="AM204" s="320"/>
      <c r="AP204" s="198"/>
    </row>
    <row r="205" spans="1:43" s="61" customFormat="1" ht="30" customHeight="1">
      <c r="A205" s="253">
        <v>2</v>
      </c>
      <c r="B205" s="254" t="s">
        <v>323</v>
      </c>
      <c r="C205" s="255" t="s">
        <v>324</v>
      </c>
      <c r="D205" s="278" t="str">
        <f>VLOOKUP(B205,Attendance!$B$6:$D$385,3,0)</f>
        <v>Store Officer</v>
      </c>
      <c r="E205" s="278" t="s">
        <v>347</v>
      </c>
      <c r="F205" s="523">
        <v>44650</v>
      </c>
      <c r="G205" s="257">
        <f>VLOOKUP(B205,Attendance!$B$6:$G$386,6,0)</f>
        <v>31</v>
      </c>
      <c r="H205" s="258">
        <f>VLOOKUP(B$8:B$380,Attendance!$B$6:$L$386,11,0)</f>
        <v>0</v>
      </c>
      <c r="I205" s="257">
        <f t="shared" si="184"/>
        <v>31</v>
      </c>
      <c r="J205" s="258">
        <f t="shared" si="185"/>
        <v>806.45161290322585</v>
      </c>
      <c r="K205" s="72">
        <v>25000</v>
      </c>
      <c r="L205" s="72">
        <f t="shared" si="186"/>
        <v>15000</v>
      </c>
      <c r="M205" s="72">
        <f t="shared" si="187"/>
        <v>7500</v>
      </c>
      <c r="N205" s="72">
        <f t="shared" si="188"/>
        <v>1500</v>
      </c>
      <c r="O205" s="72">
        <f t="shared" si="189"/>
        <v>1000</v>
      </c>
      <c r="P205" s="259">
        <v>0</v>
      </c>
      <c r="Q205" s="260">
        <f t="shared" si="190"/>
        <v>25000</v>
      </c>
      <c r="R205" s="260">
        <f t="shared" si="191"/>
        <v>25000</v>
      </c>
      <c r="S205" s="261"/>
      <c r="T205" s="261"/>
      <c r="U205" s="809"/>
      <c r="V205" s="263">
        <f t="shared" si="192"/>
        <v>25000</v>
      </c>
      <c r="W205" s="72">
        <v>0</v>
      </c>
      <c r="X205" s="261">
        <f>IFERROR(VLOOKUP(B205,'Lunch bill'!$B$6:$H$30,7,0),0)</f>
        <v>0</v>
      </c>
      <c r="Y205" s="261">
        <f t="shared" si="193"/>
        <v>750</v>
      </c>
      <c r="Z205" s="261">
        <f>IFERROR(VLOOKUP(B205,'55 Bike '!$B$7:$J$139,9,0),0)</f>
        <v>0</v>
      </c>
      <c r="AA205" s="261">
        <v>5000</v>
      </c>
      <c r="AB205" s="73">
        <f t="shared" si="194"/>
        <v>5750</v>
      </c>
      <c r="AC205" s="73">
        <f t="shared" si="195"/>
        <v>19250</v>
      </c>
      <c r="AD205" s="264" t="s">
        <v>23</v>
      </c>
      <c r="AE205" s="256" t="s">
        <v>325</v>
      </c>
      <c r="AF205" s="838"/>
      <c r="AG205" s="205"/>
      <c r="AH205" s="383"/>
      <c r="AI205" s="543"/>
      <c r="AJ205" s="548"/>
      <c r="AK205" s="548"/>
      <c r="AL205" s="198"/>
      <c r="AM205" s="320"/>
      <c r="AP205" s="198"/>
    </row>
    <row r="206" spans="1:43" s="61" customFormat="1" ht="30" customHeight="1">
      <c r="A206" s="253">
        <v>3</v>
      </c>
      <c r="B206" s="254" t="s">
        <v>326</v>
      </c>
      <c r="C206" s="255" t="s">
        <v>327</v>
      </c>
      <c r="D206" s="278" t="str">
        <f>VLOOKUP(B206,Attendance!$B$6:$D$385,3,0)</f>
        <v>Store Officer</v>
      </c>
      <c r="E206" s="278" t="s">
        <v>347</v>
      </c>
      <c r="F206" s="523">
        <v>44653</v>
      </c>
      <c r="G206" s="257">
        <f>VLOOKUP(B206,Attendance!$B$6:$G$386,6,0)</f>
        <v>31</v>
      </c>
      <c r="H206" s="258">
        <f>VLOOKUP(B$8:B$380,Attendance!$B$6:$L$386,11,0)</f>
        <v>0</v>
      </c>
      <c r="I206" s="257">
        <f t="shared" si="184"/>
        <v>31</v>
      </c>
      <c r="J206" s="258">
        <f t="shared" si="185"/>
        <v>919.35483870967744</v>
      </c>
      <c r="K206" s="72">
        <v>28500</v>
      </c>
      <c r="L206" s="72">
        <f t="shared" si="186"/>
        <v>17100</v>
      </c>
      <c r="M206" s="72">
        <f t="shared" si="187"/>
        <v>8550</v>
      </c>
      <c r="N206" s="72">
        <f t="shared" si="188"/>
        <v>1710</v>
      </c>
      <c r="O206" s="72">
        <f t="shared" si="189"/>
        <v>1140</v>
      </c>
      <c r="P206" s="259">
        <v>0</v>
      </c>
      <c r="Q206" s="260">
        <f t="shared" si="190"/>
        <v>28500</v>
      </c>
      <c r="R206" s="260">
        <f t="shared" si="191"/>
        <v>28500</v>
      </c>
      <c r="S206" s="261"/>
      <c r="T206" s="261"/>
      <c r="U206" s="809"/>
      <c r="V206" s="263">
        <f t="shared" si="192"/>
        <v>28500</v>
      </c>
      <c r="W206" s="72">
        <v>0</v>
      </c>
      <c r="X206" s="261">
        <f>IFERROR(VLOOKUP(B206,'Lunch bill'!$B$6:$H$30,7,0),0)</f>
        <v>0</v>
      </c>
      <c r="Y206" s="261">
        <f t="shared" si="193"/>
        <v>855</v>
      </c>
      <c r="Z206" s="261">
        <f>IFERROR(VLOOKUP(B206,'55 Bike '!$B$7:$J$139,9,0),0)</f>
        <v>0</v>
      </c>
      <c r="AA206" s="261"/>
      <c r="AB206" s="73">
        <f t="shared" si="194"/>
        <v>855</v>
      </c>
      <c r="AC206" s="73">
        <f t="shared" si="195"/>
        <v>27645</v>
      </c>
      <c r="AD206" s="264" t="s">
        <v>23</v>
      </c>
      <c r="AE206" s="256" t="s">
        <v>328</v>
      </c>
      <c r="AF206" s="838"/>
      <c r="AG206" s="205"/>
      <c r="AH206" s="383"/>
      <c r="AI206" s="543"/>
      <c r="AJ206" s="548"/>
      <c r="AK206" s="548"/>
      <c r="AL206" s="198"/>
      <c r="AM206" s="320"/>
      <c r="AP206" s="198"/>
    </row>
    <row r="207" spans="1:43" s="61" customFormat="1" ht="30" customHeight="1">
      <c r="A207" s="253">
        <v>4</v>
      </c>
      <c r="B207" s="254" t="s">
        <v>329</v>
      </c>
      <c r="C207" s="255" t="s">
        <v>330</v>
      </c>
      <c r="D207" s="278" t="str">
        <f>VLOOKUP(B207,Attendance!$B$6:$D$385,3,0)</f>
        <v>Sr. Store Officer</v>
      </c>
      <c r="E207" s="278" t="s">
        <v>347</v>
      </c>
      <c r="F207" s="523">
        <v>44661</v>
      </c>
      <c r="G207" s="257">
        <f>VLOOKUP(B207,Attendance!$B$6:$G$386,6,0)</f>
        <v>31</v>
      </c>
      <c r="H207" s="258">
        <f>VLOOKUP(B$8:B$380,Attendance!$B$6:$L$386,11,0)</f>
        <v>0</v>
      </c>
      <c r="I207" s="257">
        <f t="shared" si="184"/>
        <v>31</v>
      </c>
      <c r="J207" s="258">
        <f t="shared" si="185"/>
        <v>951.61290322580646</v>
      </c>
      <c r="K207" s="72">
        <v>29500</v>
      </c>
      <c r="L207" s="72">
        <f t="shared" si="186"/>
        <v>17700</v>
      </c>
      <c r="M207" s="72">
        <f t="shared" si="187"/>
        <v>8850</v>
      </c>
      <c r="N207" s="72">
        <f t="shared" si="188"/>
        <v>1770</v>
      </c>
      <c r="O207" s="72">
        <f t="shared" si="189"/>
        <v>1180</v>
      </c>
      <c r="P207" s="259">
        <v>0</v>
      </c>
      <c r="Q207" s="260">
        <f t="shared" si="190"/>
        <v>29500</v>
      </c>
      <c r="R207" s="260">
        <f t="shared" si="191"/>
        <v>29500</v>
      </c>
      <c r="S207" s="261"/>
      <c r="T207" s="261"/>
      <c r="U207" s="809"/>
      <c r="V207" s="263">
        <f t="shared" si="192"/>
        <v>29500</v>
      </c>
      <c r="W207" s="72">
        <v>0</v>
      </c>
      <c r="X207" s="261">
        <f>IFERROR(VLOOKUP(B207,'Lunch bill'!$B$6:$H$30,7,0),0)</f>
        <v>0</v>
      </c>
      <c r="Y207" s="261">
        <f t="shared" si="193"/>
        <v>885</v>
      </c>
      <c r="Z207" s="261">
        <f>IFERROR(VLOOKUP(B207,'55 Bike '!$B$7:$J$139,9,0),0)</f>
        <v>0</v>
      </c>
      <c r="AA207" s="261"/>
      <c r="AB207" s="73">
        <f t="shared" si="194"/>
        <v>885</v>
      </c>
      <c r="AC207" s="73">
        <f t="shared" si="195"/>
        <v>28615</v>
      </c>
      <c r="AD207" s="264" t="s">
        <v>23</v>
      </c>
      <c r="AE207" s="256" t="s">
        <v>331</v>
      </c>
      <c r="AF207" s="838"/>
      <c r="AG207" s="205"/>
      <c r="AH207" s="383"/>
      <c r="AI207" s="543"/>
      <c r="AJ207" s="548"/>
      <c r="AK207" s="548"/>
      <c r="AL207" s="198"/>
      <c r="AM207" s="320"/>
      <c r="AP207" s="198"/>
    </row>
    <row r="208" spans="1:43" s="61" customFormat="1" ht="30" customHeight="1">
      <c r="A208" s="253">
        <v>5</v>
      </c>
      <c r="B208" s="254" t="s">
        <v>332</v>
      </c>
      <c r="C208" s="255" t="s">
        <v>333</v>
      </c>
      <c r="D208" s="278" t="str">
        <f>VLOOKUP(B208,Attendance!$B$6:$D$385,3,0)</f>
        <v>Store Assistant</v>
      </c>
      <c r="E208" s="278" t="s">
        <v>347</v>
      </c>
      <c r="F208" s="523">
        <v>44619</v>
      </c>
      <c r="G208" s="257">
        <f>VLOOKUP(B208,Attendance!$B$6:$G$386,6,0)</f>
        <v>31</v>
      </c>
      <c r="H208" s="258">
        <f>VLOOKUP(B$8:B$380,Attendance!$B$6:$L$386,11,0)</f>
        <v>0</v>
      </c>
      <c r="I208" s="257">
        <f t="shared" si="184"/>
        <v>31</v>
      </c>
      <c r="J208" s="258">
        <f t="shared" si="185"/>
        <v>741.93548387096769</v>
      </c>
      <c r="K208" s="72">
        <v>23000</v>
      </c>
      <c r="L208" s="72">
        <f t="shared" si="186"/>
        <v>13800</v>
      </c>
      <c r="M208" s="72">
        <f t="shared" si="187"/>
        <v>6900</v>
      </c>
      <c r="N208" s="72">
        <f t="shared" si="188"/>
        <v>1380</v>
      </c>
      <c r="O208" s="72">
        <f t="shared" si="189"/>
        <v>920</v>
      </c>
      <c r="P208" s="259">
        <v>0</v>
      </c>
      <c r="Q208" s="260">
        <f t="shared" si="190"/>
        <v>23000</v>
      </c>
      <c r="R208" s="260">
        <f t="shared" si="191"/>
        <v>23000</v>
      </c>
      <c r="S208" s="261"/>
      <c r="T208" s="261"/>
      <c r="U208" s="809"/>
      <c r="V208" s="263">
        <f t="shared" si="192"/>
        <v>23000</v>
      </c>
      <c r="W208" s="72">
        <v>0</v>
      </c>
      <c r="X208" s="261">
        <f>IFERROR(VLOOKUP(B208,'Lunch bill'!$B$6:$H$30,7,0),0)</f>
        <v>0</v>
      </c>
      <c r="Y208" s="261">
        <f t="shared" si="193"/>
        <v>690</v>
      </c>
      <c r="Z208" s="261">
        <f>IFERROR(VLOOKUP(B208,'55 Bike '!$B$7:$J$139,9,0),0)</f>
        <v>0</v>
      </c>
      <c r="AA208" s="261"/>
      <c r="AB208" s="73">
        <f t="shared" si="194"/>
        <v>690</v>
      </c>
      <c r="AC208" s="73">
        <f t="shared" si="195"/>
        <v>22310</v>
      </c>
      <c r="AD208" s="264" t="s">
        <v>23</v>
      </c>
      <c r="AE208" s="256" t="s">
        <v>334</v>
      </c>
      <c r="AF208" s="838"/>
      <c r="AG208" s="205"/>
      <c r="AH208" s="383"/>
      <c r="AI208" s="543"/>
      <c r="AJ208" s="548"/>
      <c r="AK208" s="548"/>
      <c r="AL208" s="198"/>
      <c r="AM208" s="320"/>
      <c r="AP208" s="198"/>
    </row>
    <row r="209" spans="1:42" s="61" customFormat="1" ht="30" customHeight="1">
      <c r="A209" s="253">
        <v>6</v>
      </c>
      <c r="B209" s="254" t="s">
        <v>335</v>
      </c>
      <c r="C209" s="255" t="s">
        <v>336</v>
      </c>
      <c r="D209" s="278" t="str">
        <f>VLOOKUP(B209,Attendance!$B$6:$D$385,3,0)</f>
        <v>Store Officer</v>
      </c>
      <c r="E209" s="278" t="s">
        <v>347</v>
      </c>
      <c r="F209" s="523">
        <v>44634</v>
      </c>
      <c r="G209" s="257">
        <f>VLOOKUP(B209,Attendance!$B$6:$G$386,6,0)</f>
        <v>31</v>
      </c>
      <c r="H209" s="258">
        <f>VLOOKUP(B$8:B$380,Attendance!$B$6:$L$386,11,0)</f>
        <v>0</v>
      </c>
      <c r="I209" s="257">
        <f t="shared" si="184"/>
        <v>31</v>
      </c>
      <c r="J209" s="258">
        <f t="shared" si="185"/>
        <v>870.9677419354839</v>
      </c>
      <c r="K209" s="72">
        <v>27000</v>
      </c>
      <c r="L209" s="72">
        <f t="shared" si="186"/>
        <v>16200</v>
      </c>
      <c r="M209" s="72">
        <f t="shared" si="187"/>
        <v>8100</v>
      </c>
      <c r="N209" s="72">
        <f t="shared" si="188"/>
        <v>1620</v>
      </c>
      <c r="O209" s="72">
        <f t="shared" si="189"/>
        <v>1080</v>
      </c>
      <c r="P209" s="259">
        <v>0</v>
      </c>
      <c r="Q209" s="260">
        <f t="shared" si="190"/>
        <v>27000</v>
      </c>
      <c r="R209" s="260">
        <f t="shared" si="191"/>
        <v>27000</v>
      </c>
      <c r="S209" s="261"/>
      <c r="T209" s="261"/>
      <c r="U209" s="809"/>
      <c r="V209" s="263">
        <f t="shared" si="192"/>
        <v>27000</v>
      </c>
      <c r="W209" s="72">
        <v>0</v>
      </c>
      <c r="X209" s="261">
        <f>IFERROR(VLOOKUP(B209,'Lunch bill'!$B$6:$H$30,7,0),0)</f>
        <v>0</v>
      </c>
      <c r="Y209" s="261">
        <f t="shared" si="193"/>
        <v>810</v>
      </c>
      <c r="Z209" s="261">
        <f>IFERROR(VLOOKUP(B209,'55 Bike '!$B$7:$J$139,9,0),0)</f>
        <v>0</v>
      </c>
      <c r="AA209" s="261"/>
      <c r="AB209" s="73">
        <f t="shared" si="194"/>
        <v>810</v>
      </c>
      <c r="AC209" s="73">
        <f t="shared" si="195"/>
        <v>26190</v>
      </c>
      <c r="AD209" s="264" t="s">
        <v>23</v>
      </c>
      <c r="AE209" s="256" t="s">
        <v>337</v>
      </c>
      <c r="AF209" s="838"/>
      <c r="AG209" s="205"/>
      <c r="AH209" s="383"/>
      <c r="AI209" s="543"/>
      <c r="AJ209" s="548"/>
      <c r="AK209" s="548"/>
      <c r="AL209" s="198"/>
      <c r="AM209" s="320"/>
      <c r="AP209" s="198"/>
    </row>
    <row r="210" spans="1:42" s="61" customFormat="1" ht="30" customHeight="1">
      <c r="A210" s="253">
        <v>7</v>
      </c>
      <c r="B210" s="254" t="s">
        <v>338</v>
      </c>
      <c r="C210" s="255" t="s">
        <v>339</v>
      </c>
      <c r="D210" s="278" t="str">
        <f>VLOOKUP(B210,Attendance!$B$6:$D$385,3,0)</f>
        <v>Manager</v>
      </c>
      <c r="E210" s="278" t="s">
        <v>347</v>
      </c>
      <c r="F210" s="523">
        <v>44332</v>
      </c>
      <c r="G210" s="257">
        <f>VLOOKUP(B210,Attendance!$B$6:$G$386,6,0)</f>
        <v>31</v>
      </c>
      <c r="H210" s="258">
        <f>VLOOKUP(B$8:B$380,Attendance!$B$6:$L$386,11,0)</f>
        <v>0</v>
      </c>
      <c r="I210" s="257">
        <f t="shared" si="184"/>
        <v>31</v>
      </c>
      <c r="J210" s="258">
        <f t="shared" si="185"/>
        <v>1774.1935483870968</v>
      </c>
      <c r="K210" s="72">
        <v>55000</v>
      </c>
      <c r="L210" s="72">
        <f t="shared" si="186"/>
        <v>33000</v>
      </c>
      <c r="M210" s="72">
        <f t="shared" si="187"/>
        <v>16500</v>
      </c>
      <c r="N210" s="72">
        <f t="shared" si="188"/>
        <v>3300</v>
      </c>
      <c r="O210" s="72">
        <f t="shared" si="189"/>
        <v>2200</v>
      </c>
      <c r="P210" s="259">
        <v>0</v>
      </c>
      <c r="Q210" s="260">
        <f t="shared" si="190"/>
        <v>55000</v>
      </c>
      <c r="R210" s="260">
        <f t="shared" si="191"/>
        <v>55000</v>
      </c>
      <c r="S210" s="261"/>
      <c r="T210" s="261"/>
      <c r="U210" s="809"/>
      <c r="V210" s="263">
        <f t="shared" si="192"/>
        <v>55000</v>
      </c>
      <c r="W210" s="72">
        <v>417</v>
      </c>
      <c r="X210" s="261">
        <f>IFERROR(VLOOKUP(B210,'Lunch bill'!$B$6:$H$30,7,0),0)</f>
        <v>1050</v>
      </c>
      <c r="Y210" s="261">
        <f t="shared" si="193"/>
        <v>1650</v>
      </c>
      <c r="Z210" s="261">
        <f>IFERROR(VLOOKUP(B210,'55 Bike '!$B$7:$J$139,9,0),0)</f>
        <v>0</v>
      </c>
      <c r="AA210" s="261"/>
      <c r="AB210" s="73">
        <f t="shared" si="194"/>
        <v>3117</v>
      </c>
      <c r="AC210" s="73">
        <f t="shared" si="195"/>
        <v>51883</v>
      </c>
      <c r="AD210" s="264" t="s">
        <v>23</v>
      </c>
      <c r="AE210" s="256" t="s">
        <v>340</v>
      </c>
      <c r="AF210" s="838"/>
      <c r="AG210" s="205"/>
      <c r="AH210" s="383"/>
      <c r="AI210" s="543"/>
      <c r="AJ210" s="548"/>
      <c r="AK210" s="548"/>
      <c r="AL210" s="198"/>
      <c r="AM210" s="320"/>
      <c r="AP210" s="198"/>
    </row>
    <row r="211" spans="1:42" s="61" customFormat="1" ht="30" customHeight="1">
      <c r="A211" s="253">
        <v>8</v>
      </c>
      <c r="B211" s="254" t="s">
        <v>341</v>
      </c>
      <c r="C211" s="255" t="s">
        <v>342</v>
      </c>
      <c r="D211" s="278" t="str">
        <f>VLOOKUP(B211,Attendance!$B$6:$D$385,3,0)</f>
        <v>Store Worker</v>
      </c>
      <c r="E211" s="278" t="s">
        <v>347</v>
      </c>
      <c r="F211" s="523">
        <v>44698</v>
      </c>
      <c r="G211" s="257">
        <f>VLOOKUP(B211,Attendance!$B$6:$G$386,6,0)</f>
        <v>31</v>
      </c>
      <c r="H211" s="258">
        <f>VLOOKUP(B$8:B$380,Attendance!$B$6:$L$386,11,0)</f>
        <v>0</v>
      </c>
      <c r="I211" s="257">
        <f t="shared" si="184"/>
        <v>31</v>
      </c>
      <c r="J211" s="258">
        <f t="shared" si="185"/>
        <v>354.83870967741933</v>
      </c>
      <c r="K211" s="72">
        <v>11000</v>
      </c>
      <c r="L211" s="72">
        <f t="shared" si="186"/>
        <v>6600</v>
      </c>
      <c r="M211" s="72">
        <f t="shared" si="187"/>
        <v>3300</v>
      </c>
      <c r="N211" s="72">
        <f t="shared" si="188"/>
        <v>660</v>
      </c>
      <c r="O211" s="72">
        <f t="shared" si="189"/>
        <v>440</v>
      </c>
      <c r="P211" s="259">
        <v>0</v>
      </c>
      <c r="Q211" s="260">
        <f t="shared" si="190"/>
        <v>11000</v>
      </c>
      <c r="R211" s="260">
        <f t="shared" si="191"/>
        <v>11000</v>
      </c>
      <c r="S211" s="261"/>
      <c r="T211" s="261"/>
      <c r="U211" s="809"/>
      <c r="V211" s="263">
        <f t="shared" si="192"/>
        <v>11000</v>
      </c>
      <c r="W211" s="72">
        <v>0</v>
      </c>
      <c r="X211" s="261">
        <f>IFERROR(VLOOKUP(B211,'Lunch bill'!$B$6:$H$30,7,0),0)</f>
        <v>0</v>
      </c>
      <c r="Y211" s="261">
        <f t="shared" si="193"/>
        <v>330</v>
      </c>
      <c r="Z211" s="261">
        <f>IFERROR(VLOOKUP(B211,'55 Bike '!$B$7:$J$139,9,0),0)</f>
        <v>0</v>
      </c>
      <c r="AA211" s="261"/>
      <c r="AB211" s="73">
        <f t="shared" si="194"/>
        <v>330</v>
      </c>
      <c r="AC211" s="73">
        <f t="shared" si="195"/>
        <v>10670</v>
      </c>
      <c r="AD211" s="264" t="s">
        <v>25</v>
      </c>
      <c r="AE211" s="256"/>
      <c r="AF211" s="838"/>
      <c r="AG211" s="205"/>
      <c r="AH211" s="383"/>
      <c r="AI211" s="543"/>
      <c r="AJ211" s="548"/>
      <c r="AK211" s="549"/>
      <c r="AL211" s="198"/>
      <c r="AM211" s="320"/>
      <c r="AP211" s="198"/>
    </row>
    <row r="212" spans="1:42" s="61" customFormat="1" ht="30" customHeight="1">
      <c r="A212" s="253">
        <v>9</v>
      </c>
      <c r="B212" s="254" t="s">
        <v>343</v>
      </c>
      <c r="C212" s="255" t="s">
        <v>344</v>
      </c>
      <c r="D212" s="278" t="str">
        <f>VLOOKUP(B212,Attendance!$B$6:$D$385,3,0)</f>
        <v>Asst. Manager</v>
      </c>
      <c r="E212" s="278" t="s">
        <v>347</v>
      </c>
      <c r="F212" s="523">
        <v>44714</v>
      </c>
      <c r="G212" s="257">
        <f>VLOOKUP(B212,Attendance!$B$6:$G$386,6,0)</f>
        <v>31</v>
      </c>
      <c r="H212" s="258">
        <f>VLOOKUP(B$8:B$380,Attendance!$B$6:$L$386,11,0)</f>
        <v>0</v>
      </c>
      <c r="I212" s="257">
        <f t="shared" si="184"/>
        <v>31</v>
      </c>
      <c r="J212" s="258">
        <f t="shared" si="185"/>
        <v>1129.0322580645161</v>
      </c>
      <c r="K212" s="72">
        <v>35000</v>
      </c>
      <c r="L212" s="72">
        <f t="shared" si="186"/>
        <v>21000</v>
      </c>
      <c r="M212" s="72">
        <f t="shared" si="187"/>
        <v>10500</v>
      </c>
      <c r="N212" s="72">
        <f t="shared" si="188"/>
        <v>2100</v>
      </c>
      <c r="O212" s="72">
        <f t="shared" si="189"/>
        <v>1400</v>
      </c>
      <c r="P212" s="259">
        <v>0</v>
      </c>
      <c r="Q212" s="260">
        <f t="shared" si="190"/>
        <v>35000</v>
      </c>
      <c r="R212" s="260">
        <f t="shared" si="191"/>
        <v>35000</v>
      </c>
      <c r="S212" s="261"/>
      <c r="T212" s="261"/>
      <c r="U212" s="809"/>
      <c r="V212" s="263">
        <f t="shared" si="192"/>
        <v>35000</v>
      </c>
      <c r="W212" s="72">
        <v>0</v>
      </c>
      <c r="X212" s="261">
        <f>IFERROR(VLOOKUP(B212,'Lunch bill'!$B$6:$H$30,7,0),0)</f>
        <v>1350</v>
      </c>
      <c r="Y212" s="261">
        <f t="shared" si="193"/>
        <v>1050</v>
      </c>
      <c r="Z212" s="261">
        <f>IFERROR(VLOOKUP(B212,'55 Bike '!$B$7:$J$139,9,0),0)</f>
        <v>0</v>
      </c>
      <c r="AA212" s="261"/>
      <c r="AB212" s="73">
        <f t="shared" si="194"/>
        <v>2400</v>
      </c>
      <c r="AC212" s="73">
        <f t="shared" si="195"/>
        <v>32600</v>
      </c>
      <c r="AD212" s="264" t="s">
        <v>23</v>
      </c>
      <c r="AE212" s="256" t="s">
        <v>693</v>
      </c>
      <c r="AF212" s="838"/>
      <c r="AG212" s="205"/>
      <c r="AH212" s="383"/>
      <c r="AI212" s="543"/>
      <c r="AJ212" s="548"/>
      <c r="AK212" s="548"/>
      <c r="AL212" s="198"/>
      <c r="AM212" s="320"/>
      <c r="AP212" s="198"/>
    </row>
    <row r="213" spans="1:42" s="61" customFormat="1" ht="30" customHeight="1">
      <c r="A213" s="253">
        <v>10</v>
      </c>
      <c r="B213" s="254" t="s">
        <v>345</v>
      </c>
      <c r="C213" s="255" t="s">
        <v>346</v>
      </c>
      <c r="D213" s="278" t="str">
        <f>VLOOKUP(B213,Attendance!$B$6:$D$385,3,0)</f>
        <v>Manager</v>
      </c>
      <c r="E213" s="278" t="s">
        <v>347</v>
      </c>
      <c r="F213" s="523">
        <v>44774</v>
      </c>
      <c r="G213" s="257">
        <f>VLOOKUP(B213,Attendance!$B$6:$G$386,6,0)</f>
        <v>31</v>
      </c>
      <c r="H213" s="258">
        <f>VLOOKUP(B$8:B$380,Attendance!$B$6:$L$386,11,0)</f>
        <v>0</v>
      </c>
      <c r="I213" s="257">
        <f t="shared" si="184"/>
        <v>31</v>
      </c>
      <c r="J213" s="258">
        <f t="shared" si="185"/>
        <v>1306.4516129032259</v>
      </c>
      <c r="K213" s="72">
        <v>40500</v>
      </c>
      <c r="L213" s="72">
        <f t="shared" si="186"/>
        <v>24300</v>
      </c>
      <c r="M213" s="72">
        <f t="shared" si="187"/>
        <v>12150</v>
      </c>
      <c r="N213" s="72">
        <f t="shared" si="188"/>
        <v>2430</v>
      </c>
      <c r="O213" s="72">
        <f t="shared" si="189"/>
        <v>1620</v>
      </c>
      <c r="P213" s="259"/>
      <c r="Q213" s="260">
        <f t="shared" si="190"/>
        <v>40500</v>
      </c>
      <c r="R213" s="260">
        <f t="shared" si="191"/>
        <v>40500</v>
      </c>
      <c r="S213" s="261"/>
      <c r="T213" s="261"/>
      <c r="U213" s="809"/>
      <c r="V213" s="263">
        <f t="shared" si="192"/>
        <v>40500</v>
      </c>
      <c r="W213" s="72">
        <v>715</v>
      </c>
      <c r="X213" s="261">
        <f>IFERROR(VLOOKUP(B213,'Lunch bill'!$B$6:$H$30,7,0),0)</f>
        <v>0</v>
      </c>
      <c r="Y213" s="261">
        <f t="shared" si="193"/>
        <v>1215</v>
      </c>
      <c r="Z213" s="261">
        <f>IFERROR(VLOOKUP(B213,'55 Bike '!$B$7:$J$139,9,0),0)</f>
        <v>0</v>
      </c>
      <c r="AA213" s="261"/>
      <c r="AB213" s="73">
        <f t="shared" si="194"/>
        <v>1930</v>
      </c>
      <c r="AC213" s="73">
        <f t="shared" si="195"/>
        <v>38570</v>
      </c>
      <c r="AD213" s="264" t="s">
        <v>23</v>
      </c>
      <c r="AE213" s="256" t="s">
        <v>348</v>
      </c>
      <c r="AF213" s="838"/>
      <c r="AG213" s="205"/>
      <c r="AH213" s="383"/>
      <c r="AI213" s="543"/>
      <c r="AJ213" s="548"/>
      <c r="AK213" s="548"/>
      <c r="AL213" s="198"/>
      <c r="AM213" s="320"/>
      <c r="AP213" s="198"/>
    </row>
    <row r="214" spans="1:42" s="61" customFormat="1" ht="30" customHeight="1">
      <c r="A214" s="253">
        <v>11</v>
      </c>
      <c r="B214" s="254" t="s">
        <v>349</v>
      </c>
      <c r="C214" s="255" t="s">
        <v>350</v>
      </c>
      <c r="D214" s="278" t="str">
        <f>VLOOKUP(B214,Attendance!$B$6:$D$385,3,0)</f>
        <v>Store Officer</v>
      </c>
      <c r="E214" s="278" t="s">
        <v>347</v>
      </c>
      <c r="F214" s="523">
        <v>44866</v>
      </c>
      <c r="G214" s="257">
        <f>VLOOKUP(B214,Attendance!$B$6:$G$386,6,0)</f>
        <v>31</v>
      </c>
      <c r="H214" s="258">
        <f>VLOOKUP(B$8:B$380,Attendance!$B$6:$L$386,11,0)</f>
        <v>0</v>
      </c>
      <c r="I214" s="257">
        <f t="shared" si="184"/>
        <v>31</v>
      </c>
      <c r="J214" s="258">
        <f t="shared" si="185"/>
        <v>935.48387096774195</v>
      </c>
      <c r="K214" s="72">
        <v>29000</v>
      </c>
      <c r="L214" s="72">
        <f t="shared" si="186"/>
        <v>17400</v>
      </c>
      <c r="M214" s="72">
        <f t="shared" si="187"/>
        <v>8700</v>
      </c>
      <c r="N214" s="72">
        <f t="shared" si="188"/>
        <v>1740</v>
      </c>
      <c r="O214" s="72">
        <f t="shared" si="189"/>
        <v>1160</v>
      </c>
      <c r="P214" s="259"/>
      <c r="Q214" s="260">
        <f t="shared" si="190"/>
        <v>29000</v>
      </c>
      <c r="R214" s="260">
        <f t="shared" si="191"/>
        <v>29000</v>
      </c>
      <c r="S214" s="261"/>
      <c r="T214" s="261"/>
      <c r="U214" s="809"/>
      <c r="V214" s="263">
        <f t="shared" si="192"/>
        <v>29000</v>
      </c>
      <c r="W214" s="72"/>
      <c r="X214" s="261">
        <f>IFERROR(VLOOKUP(B214,'Lunch bill'!$B$6:$H$30,7,0),0)</f>
        <v>0</v>
      </c>
      <c r="Y214" s="261">
        <f t="shared" si="193"/>
        <v>870</v>
      </c>
      <c r="Z214" s="261">
        <f>IFERROR(VLOOKUP(B214,'55 Bike '!$B$7:$J$139,9,0),0)</f>
        <v>0</v>
      </c>
      <c r="AA214" s="261"/>
      <c r="AB214" s="73">
        <f t="shared" si="194"/>
        <v>870</v>
      </c>
      <c r="AC214" s="73">
        <f t="shared" si="195"/>
        <v>28130</v>
      </c>
      <c r="AD214" s="264" t="s">
        <v>23</v>
      </c>
      <c r="AE214" s="256" t="s">
        <v>351</v>
      </c>
      <c r="AF214" s="838"/>
      <c r="AG214" s="205"/>
      <c r="AH214" s="383"/>
      <c r="AI214" s="543"/>
      <c r="AJ214" s="548"/>
      <c r="AK214" s="548"/>
      <c r="AL214" s="198"/>
      <c r="AM214" s="320"/>
      <c r="AP214" s="198"/>
    </row>
    <row r="215" spans="1:42" s="61" customFormat="1" ht="30" customHeight="1">
      <c r="A215" s="253">
        <v>12</v>
      </c>
      <c r="B215" s="254" t="s">
        <v>352</v>
      </c>
      <c r="C215" s="255" t="s">
        <v>353</v>
      </c>
      <c r="D215" s="278" t="str">
        <f>VLOOKUP(B215,Attendance!$B$6:$D$385,3,0)</f>
        <v>Store Assistant</v>
      </c>
      <c r="E215" s="278" t="s">
        <v>347</v>
      </c>
      <c r="F215" s="523">
        <v>44866</v>
      </c>
      <c r="G215" s="257">
        <f>VLOOKUP(B215,Attendance!$B$6:$G$386,6,0)</f>
        <v>31</v>
      </c>
      <c r="H215" s="258">
        <f>VLOOKUP(B$8:B$380,Attendance!$B$6:$L$386,11,0)</f>
        <v>0</v>
      </c>
      <c r="I215" s="257">
        <f t="shared" si="184"/>
        <v>31</v>
      </c>
      <c r="J215" s="258">
        <f t="shared" si="185"/>
        <v>693.54838709677415</v>
      </c>
      <c r="K215" s="72">
        <v>21500</v>
      </c>
      <c r="L215" s="72">
        <f t="shared" si="186"/>
        <v>12900</v>
      </c>
      <c r="M215" s="72">
        <f t="shared" si="187"/>
        <v>6450</v>
      </c>
      <c r="N215" s="72">
        <f t="shared" si="188"/>
        <v>1290</v>
      </c>
      <c r="O215" s="72">
        <f t="shared" si="189"/>
        <v>860</v>
      </c>
      <c r="P215" s="259"/>
      <c r="Q215" s="260">
        <f t="shared" si="190"/>
        <v>21500</v>
      </c>
      <c r="R215" s="260">
        <f t="shared" si="191"/>
        <v>21500</v>
      </c>
      <c r="S215" s="261"/>
      <c r="T215" s="261"/>
      <c r="U215" s="809"/>
      <c r="V215" s="263">
        <f t="shared" si="192"/>
        <v>21500</v>
      </c>
      <c r="W215" s="72"/>
      <c r="X215" s="261">
        <f>IFERROR(VLOOKUP(B215,'Lunch bill'!$B$6:$H$30,7,0),0)</f>
        <v>0</v>
      </c>
      <c r="Y215" s="261">
        <f t="shared" si="193"/>
        <v>645</v>
      </c>
      <c r="Z215" s="261">
        <f>IFERROR(VLOOKUP(B215,'55 Bike '!$B$7:$J$139,9,0),0)</f>
        <v>0</v>
      </c>
      <c r="AA215" s="261"/>
      <c r="AB215" s="73">
        <f t="shared" si="194"/>
        <v>645</v>
      </c>
      <c r="AC215" s="73">
        <f t="shared" si="195"/>
        <v>20855</v>
      </c>
      <c r="AD215" s="264" t="s">
        <v>23</v>
      </c>
      <c r="AE215" s="256" t="s">
        <v>600</v>
      </c>
      <c r="AF215" s="838"/>
      <c r="AG215" s="205"/>
      <c r="AH215" s="383"/>
      <c r="AI215" s="543"/>
      <c r="AJ215" s="548"/>
      <c r="AK215" s="548"/>
      <c r="AL215" s="198"/>
      <c r="AM215" s="320"/>
      <c r="AP215" s="198"/>
    </row>
    <row r="216" spans="1:42" s="61" customFormat="1" ht="24.95" customHeight="1">
      <c r="A216" s="253">
        <v>13</v>
      </c>
      <c r="B216" s="254" t="s">
        <v>87</v>
      </c>
      <c r="C216" s="255" t="s">
        <v>88</v>
      </c>
      <c r="D216" s="278" t="str">
        <f>VLOOKUP(B216,Attendance!$B$6:$D$385,3,0)</f>
        <v>Office Assistant</v>
      </c>
      <c r="E216" s="278" t="s">
        <v>74</v>
      </c>
      <c r="F216" s="523">
        <v>44870</v>
      </c>
      <c r="G216" s="257">
        <f>VLOOKUP(B216,Attendance!$B$6:$G$386,6,0)</f>
        <v>31</v>
      </c>
      <c r="H216" s="258">
        <f>VLOOKUP(B$8:B$380,Attendance!$B$6:$L$386,11,0)</f>
        <v>0</v>
      </c>
      <c r="I216" s="257">
        <f t="shared" si="184"/>
        <v>31</v>
      </c>
      <c r="J216" s="258">
        <f t="shared" si="185"/>
        <v>677.41935483870964</v>
      </c>
      <c r="K216" s="72">
        <v>21000</v>
      </c>
      <c r="L216" s="72">
        <f t="shared" si="186"/>
        <v>12600</v>
      </c>
      <c r="M216" s="72">
        <f t="shared" si="187"/>
        <v>6300</v>
      </c>
      <c r="N216" s="72">
        <f t="shared" si="188"/>
        <v>1260</v>
      </c>
      <c r="O216" s="72">
        <f t="shared" si="189"/>
        <v>840</v>
      </c>
      <c r="P216" s="259"/>
      <c r="Q216" s="260">
        <f t="shared" si="190"/>
        <v>21000</v>
      </c>
      <c r="R216" s="260">
        <f t="shared" si="191"/>
        <v>21000</v>
      </c>
      <c r="S216" s="261"/>
      <c r="T216" s="261">
        <f>20*100</f>
        <v>2000</v>
      </c>
      <c r="U216" s="809"/>
      <c r="V216" s="263">
        <f t="shared" si="192"/>
        <v>23000</v>
      </c>
      <c r="W216" s="72"/>
      <c r="X216" s="261">
        <f>IFERROR(VLOOKUP(B216,'Lunch bill'!$B$6:$H$30,7,0),0)</f>
        <v>0</v>
      </c>
      <c r="Y216" s="261">
        <f t="shared" si="193"/>
        <v>630</v>
      </c>
      <c r="Z216" s="261">
        <f>IFERROR(VLOOKUP(B216,'55 Bike '!$B$7:$J$139,9,0),0)</f>
        <v>0</v>
      </c>
      <c r="AA216" s="261"/>
      <c r="AB216" s="73">
        <f t="shared" si="194"/>
        <v>630</v>
      </c>
      <c r="AC216" s="73">
        <f t="shared" si="195"/>
        <v>22370</v>
      </c>
      <c r="AD216" s="264" t="s">
        <v>23</v>
      </c>
      <c r="AE216" s="256" t="s">
        <v>1152</v>
      </c>
      <c r="AF216" s="838"/>
      <c r="AG216" s="205"/>
      <c r="AH216" s="383"/>
      <c r="AI216" s="543"/>
      <c r="AJ216" s="548"/>
      <c r="AK216" s="548"/>
      <c r="AL216" s="198"/>
      <c r="AM216" s="320"/>
      <c r="AP216" s="198"/>
    </row>
    <row r="217" spans="1:42" s="61" customFormat="1" ht="30" customHeight="1">
      <c r="A217" s="253">
        <v>14</v>
      </c>
      <c r="B217" s="254" t="s">
        <v>354</v>
      </c>
      <c r="C217" s="255" t="s">
        <v>355</v>
      </c>
      <c r="D217" s="278" t="str">
        <f>VLOOKUP(B217,Attendance!$B$6:$D$385,3,0)</f>
        <v>Store Officer</v>
      </c>
      <c r="E217" s="278" t="s">
        <v>356</v>
      </c>
      <c r="F217" s="523">
        <v>44915</v>
      </c>
      <c r="G217" s="257">
        <f>VLOOKUP(B217,Attendance!$B$6:$G$386,6,0)</f>
        <v>31</v>
      </c>
      <c r="H217" s="258">
        <f>VLOOKUP(B$8:B$380,Attendance!$B$6:$L$386,11,0)</f>
        <v>0</v>
      </c>
      <c r="I217" s="257">
        <f t="shared" si="184"/>
        <v>31</v>
      </c>
      <c r="J217" s="258">
        <f t="shared" si="185"/>
        <v>709.67741935483866</v>
      </c>
      <c r="K217" s="72">
        <v>22000</v>
      </c>
      <c r="L217" s="72">
        <f t="shared" si="186"/>
        <v>13200</v>
      </c>
      <c r="M217" s="72">
        <f t="shared" si="187"/>
        <v>6600</v>
      </c>
      <c r="N217" s="72">
        <f t="shared" si="188"/>
        <v>1320</v>
      </c>
      <c r="O217" s="72">
        <f t="shared" si="189"/>
        <v>880</v>
      </c>
      <c r="P217" s="259"/>
      <c r="Q217" s="260">
        <f t="shared" si="190"/>
        <v>22000</v>
      </c>
      <c r="R217" s="260">
        <f t="shared" si="191"/>
        <v>22000</v>
      </c>
      <c r="S217" s="261"/>
      <c r="T217" s="261"/>
      <c r="U217" s="809"/>
      <c r="V217" s="263">
        <f t="shared" si="192"/>
        <v>22000</v>
      </c>
      <c r="W217" s="72"/>
      <c r="X217" s="261">
        <f>IFERROR(VLOOKUP(B217,'Lunch bill'!$B$6:$H$30,7,0),0)</f>
        <v>0</v>
      </c>
      <c r="Y217" s="261">
        <f t="shared" si="193"/>
        <v>660</v>
      </c>
      <c r="Z217" s="261">
        <f>IFERROR(VLOOKUP(B217,'55 Bike '!$B$7:$J$139,9,0),0)</f>
        <v>0</v>
      </c>
      <c r="AA217" s="261"/>
      <c r="AB217" s="73">
        <f t="shared" si="194"/>
        <v>660</v>
      </c>
      <c r="AC217" s="73">
        <f t="shared" si="195"/>
        <v>21340</v>
      </c>
      <c r="AD217" s="264" t="s">
        <v>23</v>
      </c>
      <c r="AE217" s="256" t="s">
        <v>531</v>
      </c>
      <c r="AF217" s="838"/>
      <c r="AG217" s="205"/>
      <c r="AH217" s="383"/>
      <c r="AI217" s="543"/>
      <c r="AJ217" s="548"/>
      <c r="AK217" s="548"/>
      <c r="AL217" s="198"/>
      <c r="AM217" s="320"/>
      <c r="AP217" s="198"/>
    </row>
    <row r="218" spans="1:42" s="61" customFormat="1" ht="30" customHeight="1">
      <c r="A218" s="253">
        <v>15</v>
      </c>
      <c r="B218" s="254" t="s">
        <v>518</v>
      </c>
      <c r="C218" s="255" t="s">
        <v>519</v>
      </c>
      <c r="D218" s="278" t="str">
        <f>VLOOKUP(B218,Attendance!$B$6:$D$385,3,0)</f>
        <v>Store Officer</v>
      </c>
      <c r="E218" s="278" t="s">
        <v>356</v>
      </c>
      <c r="F218" s="523">
        <v>44941</v>
      </c>
      <c r="G218" s="257">
        <f>VLOOKUP(B218,Attendance!$B$6:$G$386,6,0)</f>
        <v>31</v>
      </c>
      <c r="H218" s="258">
        <f>VLOOKUP(B$8:B$380,Attendance!$B$6:$L$386,11,0)</f>
        <v>0</v>
      </c>
      <c r="I218" s="257">
        <f t="shared" si="184"/>
        <v>31</v>
      </c>
      <c r="J218" s="258">
        <f t="shared" si="185"/>
        <v>709.67741935483866</v>
      </c>
      <c r="K218" s="72">
        <v>22000</v>
      </c>
      <c r="L218" s="72">
        <f t="shared" si="186"/>
        <v>13200</v>
      </c>
      <c r="M218" s="72">
        <f t="shared" si="187"/>
        <v>6600</v>
      </c>
      <c r="N218" s="72">
        <f t="shared" si="188"/>
        <v>1320</v>
      </c>
      <c r="O218" s="72">
        <f t="shared" si="189"/>
        <v>880</v>
      </c>
      <c r="P218" s="259"/>
      <c r="Q218" s="260">
        <f t="shared" si="190"/>
        <v>22000</v>
      </c>
      <c r="R218" s="260">
        <f t="shared" si="191"/>
        <v>22000</v>
      </c>
      <c r="S218" s="261"/>
      <c r="T218" s="261"/>
      <c r="U218" s="809"/>
      <c r="V218" s="263">
        <f t="shared" si="192"/>
        <v>22000</v>
      </c>
      <c r="W218" s="72"/>
      <c r="X218" s="261">
        <f>IFERROR(VLOOKUP(B218,'Lunch bill'!$B$6:$H$30,7,0),0)</f>
        <v>0</v>
      </c>
      <c r="Y218" s="261">
        <f t="shared" si="193"/>
        <v>660</v>
      </c>
      <c r="Z218" s="261">
        <f>IFERROR(VLOOKUP(B218,'55 Bike '!$B$7:$J$139,9,0),0)</f>
        <v>0</v>
      </c>
      <c r="AA218" s="261"/>
      <c r="AB218" s="73">
        <f t="shared" si="194"/>
        <v>660</v>
      </c>
      <c r="AC218" s="73">
        <f t="shared" si="195"/>
        <v>21340</v>
      </c>
      <c r="AD218" s="264" t="s">
        <v>23</v>
      </c>
      <c r="AE218" s="256" t="s">
        <v>532</v>
      </c>
      <c r="AF218" s="838"/>
      <c r="AG218" s="205"/>
      <c r="AH218" s="383"/>
      <c r="AI218" s="543"/>
      <c r="AJ218" s="548"/>
      <c r="AK218" s="548"/>
      <c r="AL218" s="198"/>
      <c r="AM218" s="320"/>
      <c r="AP218" s="198"/>
    </row>
    <row r="219" spans="1:42" s="61" customFormat="1" ht="30" customHeight="1">
      <c r="A219" s="253">
        <v>16</v>
      </c>
      <c r="B219" s="254" t="s">
        <v>643</v>
      </c>
      <c r="C219" s="255" t="s">
        <v>644</v>
      </c>
      <c r="D219" s="278" t="str">
        <f>VLOOKUP(B219,Attendance!$B$6:$D$385,3,0)</f>
        <v>Store Officer</v>
      </c>
      <c r="E219" s="278" t="s">
        <v>347</v>
      </c>
      <c r="F219" s="523">
        <v>45048</v>
      </c>
      <c r="G219" s="257">
        <f>VLOOKUP(B219,Attendance!$B$6:$G$386,6,0)</f>
        <v>31</v>
      </c>
      <c r="H219" s="258">
        <f>VLOOKUP(B$8:B$380,Attendance!$B$6:$L$386,11,0)</f>
        <v>0</v>
      </c>
      <c r="I219" s="257">
        <f t="shared" si="184"/>
        <v>31</v>
      </c>
      <c r="J219" s="258">
        <f t="shared" si="185"/>
        <v>806.45161290322585</v>
      </c>
      <c r="K219" s="72">
        <v>25000</v>
      </c>
      <c r="L219" s="72">
        <f t="shared" si="186"/>
        <v>15000</v>
      </c>
      <c r="M219" s="72">
        <f t="shared" si="187"/>
        <v>7500</v>
      </c>
      <c r="N219" s="72">
        <f t="shared" si="188"/>
        <v>1500</v>
      </c>
      <c r="O219" s="72">
        <f t="shared" si="189"/>
        <v>1000</v>
      </c>
      <c r="P219" s="259"/>
      <c r="Q219" s="260">
        <f t="shared" si="190"/>
        <v>25000</v>
      </c>
      <c r="R219" s="260">
        <f t="shared" si="191"/>
        <v>25000</v>
      </c>
      <c r="S219" s="261"/>
      <c r="T219" s="261"/>
      <c r="U219" s="809"/>
      <c r="V219" s="263">
        <f t="shared" si="192"/>
        <v>25000</v>
      </c>
      <c r="W219" s="72"/>
      <c r="X219" s="261">
        <f>IFERROR(VLOOKUP(B219,'Lunch bill'!$B$6:$H$30,7,0),0)</f>
        <v>0</v>
      </c>
      <c r="Y219" s="261">
        <f t="shared" si="193"/>
        <v>750</v>
      </c>
      <c r="Z219" s="261">
        <f>IFERROR(VLOOKUP(B219,'55 Bike '!$B$7:$J$139,9,0),0)</f>
        <v>0</v>
      </c>
      <c r="AA219" s="261"/>
      <c r="AB219" s="73">
        <f t="shared" si="194"/>
        <v>750</v>
      </c>
      <c r="AC219" s="73">
        <f t="shared" si="195"/>
        <v>24250</v>
      </c>
      <c r="AD219" s="264" t="s">
        <v>23</v>
      </c>
      <c r="AE219" s="256" t="s">
        <v>672</v>
      </c>
      <c r="AF219" s="838"/>
      <c r="AG219" s="205"/>
      <c r="AH219" s="383"/>
      <c r="AI219" s="543"/>
      <c r="AJ219" s="548"/>
      <c r="AK219" s="548"/>
      <c r="AL219" s="198"/>
      <c r="AM219" s="320"/>
      <c r="AP219" s="198"/>
    </row>
    <row r="220" spans="1:42" s="61" customFormat="1" ht="30" customHeight="1">
      <c r="A220" s="253">
        <v>17</v>
      </c>
      <c r="B220" s="254" t="s">
        <v>957</v>
      </c>
      <c r="C220" s="255" t="s">
        <v>958</v>
      </c>
      <c r="D220" s="278" t="str">
        <f>VLOOKUP(B220,Attendance!$B$6:$D$385,3,0)</f>
        <v>Office Executive</v>
      </c>
      <c r="E220" s="278" t="s">
        <v>347</v>
      </c>
      <c r="F220" s="523">
        <v>45206</v>
      </c>
      <c r="G220" s="257">
        <f>VLOOKUP(B220,Attendance!$B$6:$G$386,6,0)</f>
        <v>31</v>
      </c>
      <c r="H220" s="258">
        <f>VLOOKUP(B$8:B$380,Attendance!$B$6:$L$386,11,0)</f>
        <v>0</v>
      </c>
      <c r="I220" s="257">
        <f t="shared" si="184"/>
        <v>31</v>
      </c>
      <c r="J220" s="258">
        <f t="shared" si="185"/>
        <v>806.45161290322585</v>
      </c>
      <c r="K220" s="72">
        <v>25000</v>
      </c>
      <c r="L220" s="72">
        <f t="shared" si="186"/>
        <v>15000</v>
      </c>
      <c r="M220" s="72">
        <f t="shared" si="187"/>
        <v>7500</v>
      </c>
      <c r="N220" s="72">
        <f t="shared" si="188"/>
        <v>1500</v>
      </c>
      <c r="O220" s="72">
        <f t="shared" si="189"/>
        <v>1000</v>
      </c>
      <c r="P220" s="259"/>
      <c r="Q220" s="260">
        <f t="shared" si="190"/>
        <v>25000</v>
      </c>
      <c r="R220" s="260">
        <f t="shared" si="191"/>
        <v>25000</v>
      </c>
      <c r="S220" s="261"/>
      <c r="T220" s="261"/>
      <c r="U220" s="809"/>
      <c r="V220" s="263">
        <f t="shared" si="192"/>
        <v>25000</v>
      </c>
      <c r="W220" s="72"/>
      <c r="X220" s="261">
        <f>IFERROR(VLOOKUP(B220,'Lunch bill'!$B$6:$H$30,7,0),0)</f>
        <v>0</v>
      </c>
      <c r="Y220" s="261">
        <f t="shared" si="193"/>
        <v>750</v>
      </c>
      <c r="Z220" s="261">
        <f>IFERROR(VLOOKUP(B220,'55 Bike '!$B$7:$J$139,9,0),0)</f>
        <v>0</v>
      </c>
      <c r="AA220" s="261"/>
      <c r="AB220" s="73">
        <f t="shared" si="194"/>
        <v>750</v>
      </c>
      <c r="AC220" s="73">
        <f t="shared" si="195"/>
        <v>24250</v>
      </c>
      <c r="AD220" s="264" t="s">
        <v>23</v>
      </c>
      <c r="AE220" s="256" t="s">
        <v>1271</v>
      </c>
      <c r="AF220" s="838"/>
      <c r="AG220" s="205"/>
      <c r="AH220" s="383"/>
      <c r="AI220" s="543"/>
      <c r="AJ220" s="548"/>
      <c r="AK220" s="548"/>
      <c r="AL220" s="198"/>
      <c r="AM220" s="320"/>
      <c r="AP220" s="198"/>
    </row>
    <row r="221" spans="1:42" s="61" customFormat="1" ht="30" customHeight="1">
      <c r="A221" s="253">
        <v>18</v>
      </c>
      <c r="B221" s="254" t="s">
        <v>1140</v>
      </c>
      <c r="C221" s="255" t="s">
        <v>1141</v>
      </c>
      <c r="D221" s="278" t="str">
        <f>VLOOKUP(B221,Attendance!$B$6:$D$385,3,0)</f>
        <v>Worker</v>
      </c>
      <c r="E221" s="278" t="s">
        <v>347</v>
      </c>
      <c r="F221" s="523">
        <v>45078</v>
      </c>
      <c r="G221" s="257">
        <f>VLOOKUP(B221,Attendance!$B$6:$G$386,6,0)</f>
        <v>31</v>
      </c>
      <c r="H221" s="258">
        <f>VLOOKUP(B$8:B$380,Attendance!$B$6:$L$386,11,0)</f>
        <v>0</v>
      </c>
      <c r="I221" s="257">
        <f t="shared" si="184"/>
        <v>31</v>
      </c>
      <c r="J221" s="258">
        <f t="shared" si="185"/>
        <v>277.32258064516122</v>
      </c>
      <c r="K221" s="72">
        <v>8597</v>
      </c>
      <c r="L221" s="72">
        <f t="shared" si="186"/>
        <v>5158.2</v>
      </c>
      <c r="M221" s="72">
        <f t="shared" si="187"/>
        <v>2579.1</v>
      </c>
      <c r="N221" s="72">
        <f t="shared" si="188"/>
        <v>515.81999999999994</v>
      </c>
      <c r="O221" s="72">
        <f t="shared" si="189"/>
        <v>343.88</v>
      </c>
      <c r="P221" s="259"/>
      <c r="Q221" s="260">
        <f t="shared" si="190"/>
        <v>8596.9999999999982</v>
      </c>
      <c r="R221" s="260">
        <f t="shared" si="191"/>
        <v>8597</v>
      </c>
      <c r="S221" s="261"/>
      <c r="T221" s="261"/>
      <c r="U221" s="809"/>
      <c r="V221" s="263">
        <f t="shared" si="192"/>
        <v>8597</v>
      </c>
      <c r="W221" s="72"/>
      <c r="X221" s="261">
        <f>IFERROR(VLOOKUP(B221,'Lunch bill'!$B$6:$H$30,7,0),0)</f>
        <v>0</v>
      </c>
      <c r="Y221" s="261">
        <f t="shared" si="193"/>
        <v>258</v>
      </c>
      <c r="Z221" s="261">
        <f>IFERROR(VLOOKUP(B221,'55 Bike '!$B$7:$J$139,9,0),0)</f>
        <v>0</v>
      </c>
      <c r="AA221" s="261"/>
      <c r="AB221" s="73">
        <f t="shared" si="194"/>
        <v>258</v>
      </c>
      <c r="AC221" s="73">
        <f t="shared" si="195"/>
        <v>8339</v>
      </c>
      <c r="AD221" s="264" t="s">
        <v>25</v>
      </c>
      <c r="AE221" s="256"/>
      <c r="AF221" s="838"/>
      <c r="AG221" s="205"/>
      <c r="AH221" s="383"/>
      <c r="AI221" s="543"/>
      <c r="AJ221" s="548"/>
      <c r="AK221" s="549"/>
      <c r="AL221" s="198"/>
      <c r="AM221" s="320"/>
      <c r="AP221" s="198"/>
    </row>
    <row r="222" spans="1:42" s="61" customFormat="1" ht="30" customHeight="1">
      <c r="A222" s="253">
        <v>19</v>
      </c>
      <c r="B222" s="254" t="s">
        <v>1227</v>
      </c>
      <c r="C222" s="255" t="s">
        <v>1228</v>
      </c>
      <c r="D222" s="278" t="str">
        <f>VLOOKUP(B222,Attendance!$B$6:$D$385,3,0)</f>
        <v>Store Assistant</v>
      </c>
      <c r="E222" s="278" t="s">
        <v>347</v>
      </c>
      <c r="F222" s="523">
        <v>45369</v>
      </c>
      <c r="G222" s="257">
        <f>VLOOKUP(B222,Attendance!$B$6:$G$386,6,0)</f>
        <v>31</v>
      </c>
      <c r="H222" s="258">
        <f>VLOOKUP(B$8:B$380,Attendance!$B$6:$L$386,11,0)</f>
        <v>0</v>
      </c>
      <c r="I222" s="257">
        <f t="shared" si="184"/>
        <v>31</v>
      </c>
      <c r="J222" s="258">
        <f t="shared" si="185"/>
        <v>580.64516129032256</v>
      </c>
      <c r="K222" s="72">
        <v>18000</v>
      </c>
      <c r="L222" s="72">
        <f t="shared" si="186"/>
        <v>10800</v>
      </c>
      <c r="M222" s="72">
        <f t="shared" si="187"/>
        <v>5400</v>
      </c>
      <c r="N222" s="72">
        <f t="shared" si="188"/>
        <v>1080</v>
      </c>
      <c r="O222" s="72">
        <f t="shared" si="189"/>
        <v>720</v>
      </c>
      <c r="P222" s="259"/>
      <c r="Q222" s="260">
        <f t="shared" si="190"/>
        <v>18000</v>
      </c>
      <c r="R222" s="260">
        <f t="shared" si="191"/>
        <v>18000</v>
      </c>
      <c r="S222" s="261"/>
      <c r="T222" s="261"/>
      <c r="U222" s="809"/>
      <c r="V222" s="263">
        <f t="shared" si="192"/>
        <v>18000</v>
      </c>
      <c r="W222" s="72"/>
      <c r="X222" s="261">
        <f>IFERROR(VLOOKUP(B222,'Lunch bill'!$B$6:$H$30,7,0),0)</f>
        <v>0</v>
      </c>
      <c r="Y222" s="261">
        <f t="shared" si="193"/>
        <v>0</v>
      </c>
      <c r="Z222" s="261">
        <f>IFERROR(VLOOKUP(B222,'55 Bike '!$B$7:$J$139,9,0),0)</f>
        <v>0</v>
      </c>
      <c r="AA222" s="261"/>
      <c r="AB222" s="73">
        <f t="shared" si="194"/>
        <v>0</v>
      </c>
      <c r="AC222" s="73">
        <f t="shared" si="195"/>
        <v>18000</v>
      </c>
      <c r="AD222" s="264" t="s">
        <v>23</v>
      </c>
      <c r="AE222" s="256" t="s">
        <v>1332</v>
      </c>
      <c r="AF222" s="838"/>
      <c r="AG222" s="205"/>
      <c r="AH222" s="383"/>
      <c r="AI222" s="543"/>
      <c r="AJ222" s="548"/>
      <c r="AK222" s="549"/>
      <c r="AL222" s="198"/>
      <c r="AM222" s="320"/>
      <c r="AP222" s="198"/>
    </row>
    <row r="223" spans="1:42" s="61" customFormat="1" ht="30" customHeight="1">
      <c r="A223" s="253">
        <v>20</v>
      </c>
      <c r="B223" s="254" t="s">
        <v>1371</v>
      </c>
      <c r="C223" s="255" t="s">
        <v>1372</v>
      </c>
      <c r="D223" s="278" t="s">
        <v>460</v>
      </c>
      <c r="E223" s="278" t="s">
        <v>347</v>
      </c>
      <c r="F223" s="523">
        <v>45466</v>
      </c>
      <c r="G223" s="257">
        <f>VLOOKUP(B223,Attendance!$B$6:$G$386,6,0)</f>
        <v>31</v>
      </c>
      <c r="H223" s="258">
        <f>VLOOKUP(B$8:B$380,Attendance!$B$6:$L$386,11,0)</f>
        <v>0</v>
      </c>
      <c r="I223" s="257">
        <f t="shared" si="184"/>
        <v>31</v>
      </c>
      <c r="J223" s="258">
        <f t="shared" si="185"/>
        <v>709.67741935483866</v>
      </c>
      <c r="K223" s="72">
        <v>22000</v>
      </c>
      <c r="L223" s="72">
        <f t="shared" si="186"/>
        <v>13200</v>
      </c>
      <c r="M223" s="72">
        <f t="shared" si="187"/>
        <v>6600</v>
      </c>
      <c r="N223" s="72">
        <f t="shared" si="188"/>
        <v>1320</v>
      </c>
      <c r="O223" s="72">
        <f t="shared" si="189"/>
        <v>880</v>
      </c>
      <c r="P223" s="259"/>
      <c r="Q223" s="260">
        <f t="shared" si="190"/>
        <v>22000</v>
      </c>
      <c r="R223" s="260">
        <f t="shared" si="191"/>
        <v>22000</v>
      </c>
      <c r="S223" s="261"/>
      <c r="T223" s="261"/>
      <c r="U223" s="809"/>
      <c r="V223" s="263">
        <f t="shared" si="192"/>
        <v>22000</v>
      </c>
      <c r="W223" s="72"/>
      <c r="X223" s="261">
        <f>IFERROR(VLOOKUP(B223,'Lunch bill'!$B$6:$H$30,7,0),0)</f>
        <v>0</v>
      </c>
      <c r="Y223" s="261">
        <f t="shared" si="193"/>
        <v>0</v>
      </c>
      <c r="Z223" s="261">
        <f>IFERROR(VLOOKUP(B223,'55 Bike '!$B$7:$J$139,9,0),0)</f>
        <v>0</v>
      </c>
      <c r="AA223" s="261"/>
      <c r="AB223" s="73">
        <f t="shared" si="194"/>
        <v>0</v>
      </c>
      <c r="AC223" s="73">
        <f t="shared" si="195"/>
        <v>22000</v>
      </c>
      <c r="AD223" s="264" t="s">
        <v>23</v>
      </c>
      <c r="AE223" s="256" t="s">
        <v>1387</v>
      </c>
      <c r="AF223" s="838"/>
      <c r="AG223" s="205"/>
      <c r="AH223" s="383"/>
      <c r="AI223" s="543"/>
      <c r="AJ223" s="548"/>
      <c r="AK223" s="549"/>
      <c r="AL223" s="198"/>
      <c r="AM223" s="320"/>
      <c r="AP223" s="198"/>
    </row>
    <row r="224" spans="1:42" s="61" customFormat="1" ht="30" customHeight="1">
      <c r="A224" s="253">
        <v>21</v>
      </c>
      <c r="B224" s="254" t="s">
        <v>1446</v>
      </c>
      <c r="C224" s="255" t="s">
        <v>1447</v>
      </c>
      <c r="D224" s="278" t="s">
        <v>1448</v>
      </c>
      <c r="E224" s="278" t="s">
        <v>1111</v>
      </c>
      <c r="F224" s="523">
        <v>45479</v>
      </c>
      <c r="G224" s="257">
        <f>VLOOKUP(B224,Attendance!$B$6:$G$386,6,0)</f>
        <v>31</v>
      </c>
      <c r="H224" s="258">
        <f>VLOOKUP(B$8:B$380,Attendance!$B$6:$L$386,11,0)</f>
        <v>0</v>
      </c>
      <c r="I224" s="257">
        <f t="shared" si="184"/>
        <v>31</v>
      </c>
      <c r="J224" s="258">
        <f t="shared" si="185"/>
        <v>580.64516129032256</v>
      </c>
      <c r="K224" s="72">
        <v>18000</v>
      </c>
      <c r="L224" s="72">
        <f t="shared" si="186"/>
        <v>10800</v>
      </c>
      <c r="M224" s="72">
        <f t="shared" si="187"/>
        <v>5400</v>
      </c>
      <c r="N224" s="72">
        <f t="shared" si="188"/>
        <v>1080</v>
      </c>
      <c r="O224" s="72">
        <f t="shared" si="189"/>
        <v>720</v>
      </c>
      <c r="P224" s="259"/>
      <c r="Q224" s="260">
        <f t="shared" si="190"/>
        <v>18000</v>
      </c>
      <c r="R224" s="260">
        <f t="shared" si="191"/>
        <v>18000</v>
      </c>
      <c r="S224" s="261"/>
      <c r="T224" s="261"/>
      <c r="U224" s="809"/>
      <c r="V224" s="263">
        <f t="shared" si="192"/>
        <v>18000</v>
      </c>
      <c r="W224" s="72"/>
      <c r="X224" s="261">
        <f>IFERROR(VLOOKUP(B224,'Lunch bill'!$B$6:$H$30,7,0),0)</f>
        <v>0</v>
      </c>
      <c r="Y224" s="261">
        <f t="shared" si="193"/>
        <v>0</v>
      </c>
      <c r="Z224" s="261">
        <f>IFERROR(VLOOKUP(B224,'55 Bike '!$B$7:$J$139,9,0),0)</f>
        <v>0</v>
      </c>
      <c r="AA224" s="261"/>
      <c r="AB224" s="73">
        <f t="shared" si="194"/>
        <v>0</v>
      </c>
      <c r="AC224" s="73">
        <f t="shared" si="195"/>
        <v>18000</v>
      </c>
      <c r="AD224" s="264" t="s">
        <v>23</v>
      </c>
      <c r="AE224" s="256" t="s">
        <v>1471</v>
      </c>
      <c r="AF224" s="838"/>
      <c r="AG224" s="205"/>
      <c r="AH224" s="383"/>
      <c r="AI224" s="543"/>
      <c r="AJ224" s="548"/>
      <c r="AK224" s="548"/>
      <c r="AL224" s="198"/>
      <c r="AM224" s="320"/>
      <c r="AP224" s="198"/>
    </row>
    <row r="225" spans="1:43" s="61" customFormat="1" ht="30" customHeight="1">
      <c r="A225" s="253">
        <v>22</v>
      </c>
      <c r="B225" s="254" t="s">
        <v>1853</v>
      </c>
      <c r="C225" s="255" t="s">
        <v>1854</v>
      </c>
      <c r="D225" s="278" t="s">
        <v>460</v>
      </c>
      <c r="E225" s="278" t="s">
        <v>347</v>
      </c>
      <c r="F225" s="523">
        <v>45627</v>
      </c>
      <c r="G225" s="257">
        <f>VLOOKUP(B225,Attendance!$B$6:$G$386,6,0)</f>
        <v>31</v>
      </c>
      <c r="H225" s="258">
        <f>VLOOKUP(B$8:B$380,Attendance!$B$6:$L$386,11,0)</f>
        <v>0</v>
      </c>
      <c r="I225" s="257">
        <f t="shared" ref="I225" si="196">G225-H225</f>
        <v>31</v>
      </c>
      <c r="J225" s="258">
        <f t="shared" ref="J225" si="197">Q225/G225</f>
        <v>677.41935483870964</v>
      </c>
      <c r="K225" s="72">
        <v>21000</v>
      </c>
      <c r="L225" s="72">
        <f t="shared" ref="L225" si="198">K225*60%</f>
        <v>12600</v>
      </c>
      <c r="M225" s="72">
        <f t="shared" ref="M225" si="199">K225*30%</f>
        <v>6300</v>
      </c>
      <c r="N225" s="72">
        <f t="shared" ref="N225" si="200">K225*6%</f>
        <v>1260</v>
      </c>
      <c r="O225" s="72">
        <f t="shared" ref="O225" si="201">K225*4%</f>
        <v>840</v>
      </c>
      <c r="P225" s="259"/>
      <c r="Q225" s="260">
        <f t="shared" ref="Q225" si="202">SUM(L225:P225)</f>
        <v>21000</v>
      </c>
      <c r="R225" s="260">
        <f t="shared" ref="R225" si="203">ROUND(I225*J225,)</f>
        <v>21000</v>
      </c>
      <c r="S225" s="261"/>
      <c r="T225" s="261"/>
      <c r="U225" s="809"/>
      <c r="V225" s="263">
        <f t="shared" ref="V225" si="204">SUM(R225:U225)</f>
        <v>21000</v>
      </c>
      <c r="W225" s="72"/>
      <c r="X225" s="261">
        <f>IFERROR(VLOOKUP(B225,'Lunch bill'!$B$6:$H$30,7,0),0)</f>
        <v>0</v>
      </c>
      <c r="Y225" s="261">
        <f t="shared" ref="Y225" si="205">ROUND(IF($AH$4-F225&gt;=360,L225*5%,0),0)</f>
        <v>0</v>
      </c>
      <c r="Z225" s="261">
        <f>IFERROR(VLOOKUP(B225,'55 Bike '!$B$7:$J$139,9,0),0)</f>
        <v>0</v>
      </c>
      <c r="AA225" s="261"/>
      <c r="AB225" s="73">
        <f t="shared" ref="AB225" si="206">SUM(W225:AA225)</f>
        <v>0</v>
      </c>
      <c r="AC225" s="73">
        <f t="shared" ref="AC225" si="207">ROUND(V225-AB225,0)</f>
        <v>21000</v>
      </c>
      <c r="AD225" s="264" t="s">
        <v>25</v>
      </c>
      <c r="AE225" s="256"/>
      <c r="AF225" s="838"/>
      <c r="AG225" s="205"/>
      <c r="AH225" s="383"/>
      <c r="AI225" s="543"/>
      <c r="AJ225" s="548"/>
      <c r="AK225" s="548"/>
      <c r="AL225" s="198"/>
      <c r="AM225" s="320"/>
      <c r="AP225" s="198"/>
    </row>
    <row r="226" spans="1:43" s="61" customFormat="1" ht="18.75" customHeight="1">
      <c r="A226" s="101" t="s">
        <v>67</v>
      </c>
      <c r="B226" s="102"/>
      <c r="C226" s="103"/>
      <c r="D226" s="282"/>
      <c r="E226" s="282"/>
      <c r="F226" s="526"/>
      <c r="G226" s="104"/>
      <c r="H226" s="104"/>
      <c r="I226" s="104"/>
      <c r="J226" s="104"/>
      <c r="K226" s="107">
        <f>SUM(K204:K225)</f>
        <v>555597</v>
      </c>
      <c r="L226" s="107">
        <f t="shared" ref="L226:AC226" si="208">SUM(L204:L225)</f>
        <v>333358.2</v>
      </c>
      <c r="M226" s="107">
        <f t="shared" si="208"/>
        <v>166679.1</v>
      </c>
      <c r="N226" s="107">
        <f t="shared" si="208"/>
        <v>33335.82</v>
      </c>
      <c r="O226" s="107">
        <f t="shared" si="208"/>
        <v>22223.88</v>
      </c>
      <c r="P226" s="107">
        <f t="shared" si="208"/>
        <v>0</v>
      </c>
      <c r="Q226" s="107">
        <f t="shared" si="208"/>
        <v>555597</v>
      </c>
      <c r="R226" s="107">
        <f t="shared" si="208"/>
        <v>555597</v>
      </c>
      <c r="S226" s="107">
        <f t="shared" si="208"/>
        <v>0</v>
      </c>
      <c r="T226" s="107">
        <f t="shared" si="208"/>
        <v>2000</v>
      </c>
      <c r="U226" s="107">
        <f t="shared" si="208"/>
        <v>0</v>
      </c>
      <c r="V226" s="107">
        <f t="shared" si="208"/>
        <v>557597</v>
      </c>
      <c r="W226" s="107">
        <f t="shared" si="208"/>
        <v>1132</v>
      </c>
      <c r="X226" s="107">
        <f t="shared" si="208"/>
        <v>2400</v>
      </c>
      <c r="Y226" s="107">
        <f t="shared" si="208"/>
        <v>14298</v>
      </c>
      <c r="Z226" s="107">
        <f t="shared" si="208"/>
        <v>0</v>
      </c>
      <c r="AA226" s="107">
        <f t="shared" si="208"/>
        <v>5000</v>
      </c>
      <c r="AB226" s="107">
        <f t="shared" si="208"/>
        <v>22830</v>
      </c>
      <c r="AC226" s="107">
        <f t="shared" si="208"/>
        <v>534767</v>
      </c>
      <c r="AD226" s="114"/>
      <c r="AE226" s="113"/>
      <c r="AF226" s="838"/>
      <c r="AG226" s="199"/>
      <c r="AH226" s="383"/>
      <c r="AI226" s="543"/>
      <c r="AJ226" s="548"/>
      <c r="AK226" s="549"/>
      <c r="AL226" s="198"/>
      <c r="AM226" s="320"/>
      <c r="AP226" s="198"/>
    </row>
    <row r="227" spans="1:43" s="47" customFormat="1" ht="24.95" customHeight="1">
      <c r="A227" s="89" t="s">
        <v>587</v>
      </c>
      <c r="B227" s="90"/>
      <c r="C227" s="90"/>
      <c r="D227" s="348"/>
      <c r="E227" s="497"/>
      <c r="F227" s="527"/>
      <c r="G227" s="119"/>
      <c r="H227" s="284"/>
      <c r="I227" s="90"/>
      <c r="J227" s="119"/>
      <c r="K227" s="119"/>
      <c r="L227" s="119"/>
      <c r="M227" s="119"/>
      <c r="N227" s="119"/>
      <c r="O227" s="119"/>
      <c r="P227" s="90"/>
      <c r="Q227" s="90"/>
      <c r="R227" s="90"/>
      <c r="S227" s="90"/>
      <c r="T227" s="90"/>
      <c r="U227" s="268"/>
      <c r="V227" s="90"/>
      <c r="W227" s="90"/>
      <c r="X227" s="119"/>
      <c r="Y227" s="267"/>
      <c r="Z227" s="268"/>
      <c r="AA227" s="268"/>
      <c r="AB227" s="268"/>
      <c r="AC227" s="268"/>
      <c r="AD227" s="90"/>
      <c r="AE227" s="91"/>
      <c r="AF227" s="838"/>
      <c r="AG227" s="90"/>
      <c r="AH227" s="383"/>
      <c r="AI227" s="543"/>
      <c r="AJ227" s="548"/>
      <c r="AK227" s="549"/>
      <c r="AL227" s="198"/>
      <c r="AM227" s="320"/>
      <c r="AN227" s="61"/>
      <c r="AO227" s="61"/>
      <c r="AP227" s="198"/>
      <c r="AQ227" s="61"/>
    </row>
    <row r="228" spans="1:43" s="61" customFormat="1" ht="30" customHeight="1">
      <c r="A228" s="501">
        <v>1</v>
      </c>
      <c r="B228" s="502" t="s">
        <v>523</v>
      </c>
      <c r="C228" s="329" t="s">
        <v>524</v>
      </c>
      <c r="D228" s="342" t="str">
        <f>VLOOKUP(B228,Attendance!$B$6:$D$385,3,0)</f>
        <v>Asst. Manager</v>
      </c>
      <c r="E228" s="330" t="s">
        <v>380</v>
      </c>
      <c r="F228" s="522">
        <v>44942</v>
      </c>
      <c r="G228" s="286">
        <f>VLOOKUP(B228,Attendance!$B$6:$G$386,6,0)</f>
        <v>31</v>
      </c>
      <c r="H228" s="332">
        <f>VLOOKUP(B$8:B$380,Attendance!$B$6:$L$386,11,0)</f>
        <v>0</v>
      </c>
      <c r="I228" s="286">
        <f>G228-H228</f>
        <v>31</v>
      </c>
      <c r="J228" s="332">
        <f>Q228/G228</f>
        <v>2322.5806451612902</v>
      </c>
      <c r="K228" s="58">
        <v>72000</v>
      </c>
      <c r="L228" s="58">
        <f>K228*60%</f>
        <v>43200</v>
      </c>
      <c r="M228" s="58">
        <f>K228*30%</f>
        <v>21600</v>
      </c>
      <c r="N228" s="58">
        <f>K228*6%</f>
        <v>4320</v>
      </c>
      <c r="O228" s="58">
        <f>K228*4%</f>
        <v>2880</v>
      </c>
      <c r="P228" s="333">
        <v>0</v>
      </c>
      <c r="Q228" s="334">
        <f>SUM(L228:P228)</f>
        <v>72000</v>
      </c>
      <c r="R228" s="334">
        <f>ROUND(I228*J228,)</f>
        <v>72000</v>
      </c>
      <c r="S228" s="393">
        <v>0</v>
      </c>
      <c r="T228" s="393">
        <v>0</v>
      </c>
      <c r="U228" s="809"/>
      <c r="V228" s="335">
        <f>SUM(R228:U228)</f>
        <v>72000</v>
      </c>
      <c r="W228" s="58">
        <v>417</v>
      </c>
      <c r="X228" s="393">
        <f>IFERROR(VLOOKUP(B228,'Lunch bill'!$B$6:$H$30,7,0),0)</f>
        <v>0</v>
      </c>
      <c r="Y228" s="261">
        <f>ROUND(IF($AH$4-F228&gt;=360,L228*5%,0),0)</f>
        <v>2160</v>
      </c>
      <c r="Z228" s="337">
        <f>IFERROR(VLOOKUP(B228,'55 Bike '!$B$7:$J$139,9,0),0)</f>
        <v>0</v>
      </c>
      <c r="AA228" s="337"/>
      <c r="AB228" s="73">
        <f>SUM(W228:AA228)</f>
        <v>2577</v>
      </c>
      <c r="AC228" s="193">
        <f>ROUND(V228-AB228,0)</f>
        <v>69423</v>
      </c>
      <c r="AD228" s="504" t="s">
        <v>23</v>
      </c>
      <c r="AE228" s="331" t="s">
        <v>573</v>
      </c>
      <c r="AF228" s="838"/>
      <c r="AG228" s="205"/>
      <c r="AH228" s="383"/>
      <c r="AI228" s="543"/>
      <c r="AJ228" s="548"/>
      <c r="AK228" s="548"/>
      <c r="AL228" s="198"/>
      <c r="AM228" s="320"/>
      <c r="AP228" s="198"/>
    </row>
    <row r="229" spans="1:43" s="61" customFormat="1" ht="30" customHeight="1">
      <c r="A229" s="253">
        <v>2</v>
      </c>
      <c r="B229" s="254" t="s">
        <v>1166</v>
      </c>
      <c r="C229" s="255" t="s">
        <v>1167</v>
      </c>
      <c r="D229" s="278" t="str">
        <f>VLOOKUP(B229,Attendance!$B$6:$D$385,3,0)</f>
        <v>Jr. Engineer</v>
      </c>
      <c r="E229" s="278" t="s">
        <v>1169</v>
      </c>
      <c r="F229" s="523">
        <v>45337</v>
      </c>
      <c r="G229" s="257">
        <f>VLOOKUP(B229,Attendance!$B$6:$G$386,6,0)</f>
        <v>31</v>
      </c>
      <c r="H229" s="258">
        <f>VLOOKUP(B$8:B$380,Attendance!$B$6:$L$386,11,0)</f>
        <v>0</v>
      </c>
      <c r="I229" s="257">
        <f>G229-H229</f>
        <v>31</v>
      </c>
      <c r="J229" s="258">
        <f>Q229/G229</f>
        <v>806.45161290322585</v>
      </c>
      <c r="K229" s="72">
        <v>25000</v>
      </c>
      <c r="L229" s="72">
        <f>K229*60%</f>
        <v>15000</v>
      </c>
      <c r="M229" s="72">
        <f>K229*30%</f>
        <v>7500</v>
      </c>
      <c r="N229" s="72">
        <f>K229*6%</f>
        <v>1500</v>
      </c>
      <c r="O229" s="72">
        <f>K229*4%</f>
        <v>1000</v>
      </c>
      <c r="P229" s="259"/>
      <c r="Q229" s="260">
        <f>SUM(L229:P229)</f>
        <v>25000</v>
      </c>
      <c r="R229" s="260">
        <f>ROUND(I229*J229,)</f>
        <v>25000</v>
      </c>
      <c r="S229" s="261">
        <v>0</v>
      </c>
      <c r="T229" s="261">
        <v>0</v>
      </c>
      <c r="U229" s="809"/>
      <c r="V229" s="263">
        <f>SUM(R229:U229)</f>
        <v>25000</v>
      </c>
      <c r="W229" s="72"/>
      <c r="X229" s="261">
        <f>IFERROR(VLOOKUP(B229,'Lunch bill'!$B$6:$H$30,7,0),0)</f>
        <v>0</v>
      </c>
      <c r="Y229" s="261">
        <f>ROUND(IF($AH$4-F229&gt;=360,L229*5%,0),0)</f>
        <v>0</v>
      </c>
      <c r="Z229" s="261">
        <f>IFERROR(VLOOKUP(B229,'55 Bike '!$B$7:$J$139,9,0),0)</f>
        <v>0</v>
      </c>
      <c r="AA229" s="261"/>
      <c r="AB229" s="73">
        <f>SUM(W229:AA229)</f>
        <v>0</v>
      </c>
      <c r="AC229" s="73">
        <f>ROUND(V229-AB229,0)</f>
        <v>25000</v>
      </c>
      <c r="AD229" s="264" t="s">
        <v>23</v>
      </c>
      <c r="AE229" s="256" t="s">
        <v>1180</v>
      </c>
      <c r="AF229" s="838"/>
      <c r="AG229" s="205"/>
      <c r="AH229" s="383"/>
      <c r="AI229" s="543"/>
      <c r="AJ229" s="548"/>
      <c r="AK229" s="549"/>
      <c r="AL229" s="198"/>
      <c r="AM229" s="320"/>
      <c r="AP229" s="198"/>
    </row>
    <row r="230" spans="1:43" s="61" customFormat="1" ht="30" customHeight="1">
      <c r="A230" s="253">
        <v>3</v>
      </c>
      <c r="B230" s="254" t="s">
        <v>1444</v>
      </c>
      <c r="C230" s="255" t="s">
        <v>1445</v>
      </c>
      <c r="D230" s="278" t="s">
        <v>540</v>
      </c>
      <c r="E230" s="278" t="s">
        <v>1111</v>
      </c>
      <c r="F230" s="523">
        <v>45475</v>
      </c>
      <c r="G230" s="257">
        <f>VLOOKUP(B230,Attendance!$B$6:$G$386,6,0)</f>
        <v>31</v>
      </c>
      <c r="H230" s="258">
        <f>VLOOKUP(B$8:B$380,Attendance!$B$6:$L$386,11,0)</f>
        <v>0</v>
      </c>
      <c r="I230" s="257">
        <f>G230-H230</f>
        <v>31</v>
      </c>
      <c r="J230" s="258">
        <f>Q230/G230</f>
        <v>1612.9032258064517</v>
      </c>
      <c r="K230" s="72">
        <v>50000</v>
      </c>
      <c r="L230" s="72">
        <f>K230*60%</f>
        <v>30000</v>
      </c>
      <c r="M230" s="72">
        <f>K230*30%</f>
        <v>15000</v>
      </c>
      <c r="N230" s="72">
        <f>K230*6%</f>
        <v>3000</v>
      </c>
      <c r="O230" s="72">
        <f>K230*4%</f>
        <v>2000</v>
      </c>
      <c r="P230" s="259"/>
      <c r="Q230" s="260">
        <f>SUM(L230:P230)</f>
        <v>50000</v>
      </c>
      <c r="R230" s="260">
        <f>ROUND(I230*J230,)</f>
        <v>50000</v>
      </c>
      <c r="S230" s="261">
        <v>0</v>
      </c>
      <c r="T230" s="261">
        <v>0</v>
      </c>
      <c r="U230" s="809"/>
      <c r="V230" s="263">
        <f>SUM(R230:U230)</f>
        <v>50000</v>
      </c>
      <c r="W230" s="72">
        <v>417</v>
      </c>
      <c r="X230" s="261">
        <f>IFERROR(VLOOKUP(B230,'Lunch bill'!$B$6:$H$30,7,0),0)</f>
        <v>0</v>
      </c>
      <c r="Y230" s="261">
        <f>ROUND(IF($AH$4-F230&gt;=360,L230*5%,0),0)</f>
        <v>0</v>
      </c>
      <c r="Z230" s="261">
        <f>IFERROR(VLOOKUP(B230,'55 Bike '!$B$7:$J$139,9,0),0)</f>
        <v>0</v>
      </c>
      <c r="AA230" s="261"/>
      <c r="AB230" s="73">
        <f>SUM(W230:AA230)</f>
        <v>417</v>
      </c>
      <c r="AC230" s="73">
        <f>ROUND(V230-AB230,0)</f>
        <v>49583</v>
      </c>
      <c r="AD230" s="264" t="s">
        <v>23</v>
      </c>
      <c r="AE230" s="256" t="s">
        <v>1465</v>
      </c>
      <c r="AF230" s="838"/>
      <c r="AG230" s="205"/>
      <c r="AH230" s="383"/>
      <c r="AI230" s="543"/>
      <c r="AJ230" s="548"/>
      <c r="AK230" s="548"/>
      <c r="AL230" s="198"/>
      <c r="AM230" s="320"/>
      <c r="AP230" s="198"/>
    </row>
    <row r="231" spans="1:43" s="30" customFormat="1" ht="24.95" customHeight="1">
      <c r="A231" s="101" t="s">
        <v>67</v>
      </c>
      <c r="B231" s="102"/>
      <c r="C231" s="103"/>
      <c r="D231" s="282"/>
      <c r="E231" s="282"/>
      <c r="F231" s="526"/>
      <c r="G231" s="104"/>
      <c r="H231" s="104"/>
      <c r="I231" s="104"/>
      <c r="J231" s="104"/>
      <c r="K231" s="107">
        <f t="shared" ref="K231:AC231" si="209">SUM(K228:K230)</f>
        <v>147000</v>
      </c>
      <c r="L231" s="107">
        <f t="shared" si="209"/>
        <v>88200</v>
      </c>
      <c r="M231" s="107">
        <f t="shared" si="209"/>
        <v>44100</v>
      </c>
      <c r="N231" s="107">
        <f t="shared" si="209"/>
        <v>8820</v>
      </c>
      <c r="O231" s="107">
        <f t="shared" si="209"/>
        <v>5880</v>
      </c>
      <c r="P231" s="107">
        <f t="shared" si="209"/>
        <v>0</v>
      </c>
      <c r="Q231" s="107">
        <f t="shared" si="209"/>
        <v>147000</v>
      </c>
      <c r="R231" s="107">
        <f t="shared" si="209"/>
        <v>147000</v>
      </c>
      <c r="S231" s="107">
        <f t="shared" si="209"/>
        <v>0</v>
      </c>
      <c r="T231" s="107">
        <f t="shared" si="209"/>
        <v>0</v>
      </c>
      <c r="U231" s="107">
        <f t="shared" ref="U231" si="210">SUM(U228:U230)</f>
        <v>0</v>
      </c>
      <c r="V231" s="107">
        <f t="shared" si="209"/>
        <v>147000</v>
      </c>
      <c r="W231" s="107">
        <f t="shared" si="209"/>
        <v>834</v>
      </c>
      <c r="X231" s="107">
        <f t="shared" si="209"/>
        <v>0</v>
      </c>
      <c r="Y231" s="107">
        <f t="shared" si="209"/>
        <v>2160</v>
      </c>
      <c r="Z231" s="107">
        <f t="shared" si="209"/>
        <v>0</v>
      </c>
      <c r="AA231" s="107">
        <f t="shared" si="209"/>
        <v>0</v>
      </c>
      <c r="AB231" s="107">
        <f t="shared" si="209"/>
        <v>2994</v>
      </c>
      <c r="AC231" s="107">
        <f t="shared" si="209"/>
        <v>144006</v>
      </c>
      <c r="AD231" s="114"/>
      <c r="AE231" s="113"/>
      <c r="AF231" s="838"/>
      <c r="AG231" s="199"/>
      <c r="AH231" s="383"/>
      <c r="AI231" s="543"/>
      <c r="AJ231" s="548"/>
      <c r="AK231" s="549"/>
      <c r="AL231" s="198"/>
      <c r="AM231" s="320"/>
      <c r="AN231" s="61"/>
      <c r="AO231" s="61"/>
      <c r="AP231" s="198"/>
      <c r="AQ231" s="61"/>
    </row>
    <row r="232" spans="1:43" s="47" customFormat="1" ht="24.95" customHeight="1">
      <c r="A232" s="89" t="s">
        <v>357</v>
      </c>
      <c r="B232" s="90"/>
      <c r="C232" s="90"/>
      <c r="D232" s="281"/>
      <c r="E232" s="497"/>
      <c r="F232" s="527"/>
      <c r="G232" s="268"/>
      <c r="H232" s="267"/>
      <c r="I232" s="90"/>
      <c r="J232" s="90"/>
      <c r="K232" s="268"/>
      <c r="L232" s="268"/>
      <c r="M232" s="268"/>
      <c r="N232" s="268"/>
      <c r="O232" s="268"/>
      <c r="P232" s="268"/>
      <c r="Q232" s="268"/>
      <c r="R232" s="119"/>
      <c r="S232" s="119"/>
      <c r="T232" s="119"/>
      <c r="U232" s="119"/>
      <c r="V232" s="119"/>
      <c r="W232" s="119"/>
      <c r="X232" s="268"/>
      <c r="Y232" s="267"/>
      <c r="Z232" s="268"/>
      <c r="AA232" s="268"/>
      <c r="AB232" s="268"/>
      <c r="AC232" s="268"/>
      <c r="AD232" s="119"/>
      <c r="AE232" s="120"/>
      <c r="AF232" s="838"/>
      <c r="AG232" s="90"/>
      <c r="AH232" s="383"/>
      <c r="AI232" s="543"/>
      <c r="AJ232" s="548"/>
      <c r="AK232" s="549"/>
      <c r="AL232" s="198"/>
      <c r="AM232" s="320"/>
      <c r="AN232" s="61"/>
      <c r="AO232" s="61"/>
      <c r="AP232" s="198"/>
      <c r="AQ232" s="61"/>
    </row>
    <row r="233" spans="1:43" s="61" customFormat="1" ht="24.95" customHeight="1">
      <c r="A233" s="501">
        <v>1</v>
      </c>
      <c r="B233" s="502" t="s">
        <v>358</v>
      </c>
      <c r="C233" s="329" t="s">
        <v>359</v>
      </c>
      <c r="D233" s="330" t="str">
        <f>VLOOKUP(B233,Attendance!$B$6:$D$385,3,0)</f>
        <v>Asst. Territory Manager</v>
      </c>
      <c r="E233" s="330" t="s">
        <v>360</v>
      </c>
      <c r="F233" s="522">
        <v>44667</v>
      </c>
      <c r="G233" s="257">
        <f>VLOOKUP(B233,Attendance!$B$6:$G$386,6,0)</f>
        <v>31</v>
      </c>
      <c r="H233" s="258">
        <f>VLOOKUP(B$8:B$380,Attendance!$B$6:$L$386,11,0)</f>
        <v>0</v>
      </c>
      <c r="I233" s="286">
        <f t="shared" ref="I233:I240" si="211">G233-H233</f>
        <v>31</v>
      </c>
      <c r="J233" s="332">
        <f t="shared" ref="J233:J240" si="212">Q233/G233</f>
        <v>1048.3870967741937</v>
      </c>
      <c r="K233" s="58">
        <v>32500</v>
      </c>
      <c r="L233" s="192">
        <f t="shared" ref="L233:L240" si="213">K233*60%</f>
        <v>19500</v>
      </c>
      <c r="M233" s="192">
        <f t="shared" ref="M233:M240" si="214">K233*30%</f>
        <v>9750</v>
      </c>
      <c r="N233" s="192">
        <f t="shared" ref="N233:N240" si="215">K233*6%</f>
        <v>1950</v>
      </c>
      <c r="O233" s="192">
        <f t="shared" ref="O233:O240" si="216">K233*4%</f>
        <v>1300</v>
      </c>
      <c r="P233" s="344">
        <v>0</v>
      </c>
      <c r="Q233" s="345">
        <f t="shared" ref="Q233:Q240" si="217">SUM(L233:P233)</f>
        <v>32500</v>
      </c>
      <c r="R233" s="334">
        <f t="shared" ref="R233:R240" si="218">ROUND(I233*J233,)</f>
        <v>32500</v>
      </c>
      <c r="S233" s="393"/>
      <c r="T233" s="393"/>
      <c r="U233" s="783"/>
      <c r="V233" s="335">
        <f t="shared" ref="V233:V240" si="219">SUM(R233:U233)</f>
        <v>32500</v>
      </c>
      <c r="W233" s="58">
        <v>0</v>
      </c>
      <c r="X233" s="261">
        <f>IFERROR(VLOOKUP(B233,'Lunch bill'!$B$6:$H$30,7,0),0)</f>
        <v>0</v>
      </c>
      <c r="Y233" s="261">
        <f t="shared" ref="Y233:Y240" si="220">ROUND(IF($AH$4-F233&gt;=360,L233*5%,0),0)</f>
        <v>975</v>
      </c>
      <c r="Z233" s="261">
        <f>IFERROR(VLOOKUP(B233,'55 Bike '!$B$7:$J$139,9,0),0)</f>
        <v>0</v>
      </c>
      <c r="AA233" s="337"/>
      <c r="AB233" s="193">
        <f t="shared" ref="AB233:AB240" si="221">SUM(W233:AA233)</f>
        <v>975</v>
      </c>
      <c r="AC233" s="193">
        <f t="shared" ref="AC233:AC240" si="222">ROUND(V233-AB233,0)</f>
        <v>31525</v>
      </c>
      <c r="AD233" s="504" t="s">
        <v>23</v>
      </c>
      <c r="AE233" s="331" t="s">
        <v>361</v>
      </c>
      <c r="AF233" s="838"/>
      <c r="AG233" s="205"/>
      <c r="AH233" s="383"/>
      <c r="AI233" s="543"/>
      <c r="AJ233" s="548"/>
      <c r="AK233" s="548"/>
      <c r="AL233" s="198"/>
      <c r="AM233" s="320"/>
      <c r="AP233" s="198"/>
    </row>
    <row r="234" spans="1:43" s="61" customFormat="1" ht="24.75" customHeight="1">
      <c r="A234" s="253">
        <v>2</v>
      </c>
      <c r="B234" s="254" t="s">
        <v>362</v>
      </c>
      <c r="C234" s="255" t="s">
        <v>363</v>
      </c>
      <c r="D234" s="278" t="str">
        <f>VLOOKUP(B234,Attendance!$B$6:$D$385,3,0)</f>
        <v>COO</v>
      </c>
      <c r="E234" s="278" t="s">
        <v>364</v>
      </c>
      <c r="F234" s="523">
        <v>44555</v>
      </c>
      <c r="G234" s="257">
        <f>VLOOKUP(B234,Attendance!$B$6:$G$386,6,0)</f>
        <v>31</v>
      </c>
      <c r="H234" s="258">
        <f>VLOOKUP(B$8:B$380,Attendance!$B$6:$L$386,11,0)</f>
        <v>0</v>
      </c>
      <c r="I234" s="257">
        <f t="shared" si="211"/>
        <v>31</v>
      </c>
      <c r="J234" s="258">
        <f t="shared" si="212"/>
        <v>4451.6129032258068</v>
      </c>
      <c r="K234" s="72">
        <v>138000</v>
      </c>
      <c r="L234" s="72">
        <f t="shared" si="213"/>
        <v>82800</v>
      </c>
      <c r="M234" s="72">
        <f t="shared" si="214"/>
        <v>41400</v>
      </c>
      <c r="N234" s="72">
        <f t="shared" si="215"/>
        <v>8280</v>
      </c>
      <c r="O234" s="72">
        <f t="shared" si="216"/>
        <v>5520</v>
      </c>
      <c r="P234" s="259">
        <v>0</v>
      </c>
      <c r="Q234" s="260">
        <f t="shared" si="217"/>
        <v>138000</v>
      </c>
      <c r="R234" s="260">
        <f t="shared" si="218"/>
        <v>138000</v>
      </c>
      <c r="S234" s="261"/>
      <c r="T234" s="261"/>
      <c r="U234" s="809"/>
      <c r="V234" s="263">
        <f t="shared" si="219"/>
        <v>138000</v>
      </c>
      <c r="W234" s="72">
        <v>7348</v>
      </c>
      <c r="X234" s="261">
        <f>IFERROR(VLOOKUP(B234,'Lunch bill'!$B$6:$H$30,7,0),0)</f>
        <v>0</v>
      </c>
      <c r="Y234" s="261">
        <f t="shared" si="220"/>
        <v>4140</v>
      </c>
      <c r="Z234" s="261">
        <f>IFERROR(VLOOKUP(B234,'55 Bike '!$B$7:$J$139,9,0),0)</f>
        <v>0</v>
      </c>
      <c r="AA234" s="261"/>
      <c r="AB234" s="73">
        <f t="shared" si="221"/>
        <v>11488</v>
      </c>
      <c r="AC234" s="73">
        <f t="shared" si="222"/>
        <v>126512</v>
      </c>
      <c r="AD234" s="264" t="s">
        <v>23</v>
      </c>
      <c r="AE234" s="256" t="s">
        <v>365</v>
      </c>
      <c r="AF234" s="838"/>
      <c r="AG234" s="205"/>
      <c r="AH234" s="383"/>
      <c r="AI234" s="543"/>
      <c r="AJ234" s="548"/>
      <c r="AK234" s="548"/>
      <c r="AL234" s="198"/>
      <c r="AM234" s="320"/>
      <c r="AP234" s="198"/>
    </row>
    <row r="235" spans="1:43" s="61" customFormat="1" ht="24.95" customHeight="1">
      <c r="A235" s="253">
        <v>3</v>
      </c>
      <c r="B235" s="254" t="s">
        <v>308</v>
      </c>
      <c r="C235" s="255" t="s">
        <v>309</v>
      </c>
      <c r="D235" s="278" t="str">
        <f>VLOOKUP(B235,Attendance!$B$6:$D$385,3,0)</f>
        <v>Driver</v>
      </c>
      <c r="E235" s="278" t="s">
        <v>137</v>
      </c>
      <c r="F235" s="523">
        <v>44583</v>
      </c>
      <c r="G235" s="257">
        <f>VLOOKUP(B235,Attendance!$B$6:$G$386,6,0)</f>
        <v>31</v>
      </c>
      <c r="H235" s="258">
        <f>VLOOKUP(B$8:B$380,Attendance!$B$6:$L$386,11,0)</f>
        <v>0</v>
      </c>
      <c r="I235" s="257">
        <f t="shared" si="211"/>
        <v>31</v>
      </c>
      <c r="J235" s="258">
        <f t="shared" si="212"/>
        <v>709.67741935483866</v>
      </c>
      <c r="K235" s="72">
        <v>22000</v>
      </c>
      <c r="L235" s="72">
        <f t="shared" si="213"/>
        <v>13200</v>
      </c>
      <c r="M235" s="72">
        <f t="shared" si="214"/>
        <v>6600</v>
      </c>
      <c r="N235" s="72">
        <f t="shared" si="215"/>
        <v>1320</v>
      </c>
      <c r="O235" s="72">
        <f t="shared" si="216"/>
        <v>880</v>
      </c>
      <c r="P235" s="259">
        <v>0</v>
      </c>
      <c r="Q235" s="260">
        <f t="shared" si="217"/>
        <v>22000</v>
      </c>
      <c r="R235" s="260">
        <f t="shared" si="218"/>
        <v>22000</v>
      </c>
      <c r="S235" s="261"/>
      <c r="T235" s="261"/>
      <c r="U235" s="809"/>
      <c r="V235" s="263">
        <f t="shared" si="219"/>
        <v>22000</v>
      </c>
      <c r="W235" s="72">
        <v>0</v>
      </c>
      <c r="X235" s="261">
        <f>IFERROR(VLOOKUP(B235,'Lunch bill'!$B$6:$H$30,7,0),0)</f>
        <v>0</v>
      </c>
      <c r="Y235" s="261">
        <f t="shared" si="220"/>
        <v>660</v>
      </c>
      <c r="Z235" s="261">
        <f>IFERROR(VLOOKUP(B235,'55 Bike '!$B$7:$J$139,9,0),0)</f>
        <v>0</v>
      </c>
      <c r="AA235" s="261"/>
      <c r="AB235" s="73">
        <f t="shared" si="221"/>
        <v>660</v>
      </c>
      <c r="AC235" s="73">
        <f t="shared" si="222"/>
        <v>21340</v>
      </c>
      <c r="AD235" s="264" t="s">
        <v>23</v>
      </c>
      <c r="AE235" s="256" t="s">
        <v>708</v>
      </c>
      <c r="AF235" s="838"/>
      <c r="AG235" s="205"/>
      <c r="AH235" s="383"/>
      <c r="AI235" s="543"/>
      <c r="AJ235" s="548"/>
      <c r="AK235" s="548"/>
      <c r="AL235" s="198"/>
      <c r="AM235" s="320"/>
      <c r="AP235" s="198"/>
    </row>
    <row r="236" spans="1:43" s="61" customFormat="1" ht="24.95" customHeight="1">
      <c r="A236" s="253">
        <v>4</v>
      </c>
      <c r="B236" s="254" t="s">
        <v>366</v>
      </c>
      <c r="C236" s="255" t="s">
        <v>367</v>
      </c>
      <c r="D236" s="278" t="str">
        <f>VLOOKUP(B236,Attendance!$B$6:$D$385,3,0)</f>
        <v>Deputy Manager</v>
      </c>
      <c r="E236" s="278" t="s">
        <v>364</v>
      </c>
      <c r="F236" s="523">
        <v>44744</v>
      </c>
      <c r="G236" s="257">
        <f>VLOOKUP(B236,Attendance!$B$6:$G$386,6,0)</f>
        <v>31</v>
      </c>
      <c r="H236" s="258">
        <f>VLOOKUP(B$8:B$380,Attendance!$B$6:$L$386,11,0)</f>
        <v>0</v>
      </c>
      <c r="I236" s="257">
        <f t="shared" si="211"/>
        <v>31</v>
      </c>
      <c r="J236" s="258">
        <f t="shared" si="212"/>
        <v>1387.0967741935483</v>
      </c>
      <c r="K236" s="72">
        <v>43000</v>
      </c>
      <c r="L236" s="72">
        <f t="shared" si="213"/>
        <v>25800</v>
      </c>
      <c r="M236" s="72">
        <f t="shared" si="214"/>
        <v>12900</v>
      </c>
      <c r="N236" s="72">
        <f t="shared" si="215"/>
        <v>2580</v>
      </c>
      <c r="O236" s="72">
        <f t="shared" si="216"/>
        <v>1720</v>
      </c>
      <c r="P236" s="259"/>
      <c r="Q236" s="260">
        <f t="shared" si="217"/>
        <v>43000</v>
      </c>
      <c r="R236" s="260">
        <f t="shared" si="218"/>
        <v>43000</v>
      </c>
      <c r="S236" s="261"/>
      <c r="T236" s="261"/>
      <c r="U236" s="809"/>
      <c r="V236" s="263">
        <f t="shared" si="219"/>
        <v>43000</v>
      </c>
      <c r="W236" s="72">
        <v>715</v>
      </c>
      <c r="X236" s="261">
        <f>IFERROR(VLOOKUP(B236,'Lunch bill'!$B$6:$H$30,7,0),0)</f>
        <v>0</v>
      </c>
      <c r="Y236" s="261">
        <f t="shared" si="220"/>
        <v>1290</v>
      </c>
      <c r="Z236" s="261">
        <f>IFERROR(VLOOKUP(B236,'55 Bike '!$B$7:$J$139,9,0),0)</f>
        <v>0</v>
      </c>
      <c r="AA236" s="261"/>
      <c r="AB236" s="73">
        <f t="shared" si="221"/>
        <v>2005</v>
      </c>
      <c r="AC236" s="73">
        <f t="shared" si="222"/>
        <v>40995</v>
      </c>
      <c r="AD236" s="264" t="s">
        <v>23</v>
      </c>
      <c r="AE236" s="256" t="s">
        <v>368</v>
      </c>
      <c r="AF236" s="838"/>
      <c r="AG236" s="205"/>
      <c r="AH236" s="383"/>
      <c r="AI236" s="543"/>
      <c r="AJ236" s="548"/>
      <c r="AK236" s="548"/>
      <c r="AL236" s="198"/>
      <c r="AM236" s="320"/>
      <c r="AP236" s="198"/>
    </row>
    <row r="237" spans="1:43" s="61" customFormat="1" ht="24.95" customHeight="1">
      <c r="A237" s="253">
        <v>5</v>
      </c>
      <c r="B237" s="254" t="s">
        <v>369</v>
      </c>
      <c r="C237" s="255" t="s">
        <v>370</v>
      </c>
      <c r="D237" s="278" t="str">
        <f>VLOOKUP(B237,Attendance!$B$6:$D$385,3,0)</f>
        <v>Depot Manager</v>
      </c>
      <c r="E237" s="278" t="s">
        <v>360</v>
      </c>
      <c r="F237" s="523">
        <v>44776</v>
      </c>
      <c r="G237" s="257">
        <f>VLOOKUP(B237,Attendance!$B$6:$G$386,6,0)</f>
        <v>31</v>
      </c>
      <c r="H237" s="258">
        <f>VLOOKUP(B$8:B$380,Attendance!$B$6:$L$386,11,0)</f>
        <v>0</v>
      </c>
      <c r="I237" s="257">
        <f t="shared" si="211"/>
        <v>31</v>
      </c>
      <c r="J237" s="258">
        <f t="shared" si="212"/>
        <v>1290.3225806451612</v>
      </c>
      <c r="K237" s="72">
        <v>40000</v>
      </c>
      <c r="L237" s="72">
        <f t="shared" si="213"/>
        <v>24000</v>
      </c>
      <c r="M237" s="72">
        <f t="shared" si="214"/>
        <v>12000</v>
      </c>
      <c r="N237" s="72">
        <f t="shared" si="215"/>
        <v>2400</v>
      </c>
      <c r="O237" s="72">
        <f t="shared" si="216"/>
        <v>1600</v>
      </c>
      <c r="P237" s="259"/>
      <c r="Q237" s="260">
        <f t="shared" si="217"/>
        <v>40000</v>
      </c>
      <c r="R237" s="260">
        <f t="shared" si="218"/>
        <v>40000</v>
      </c>
      <c r="S237" s="261"/>
      <c r="T237" s="261"/>
      <c r="U237" s="809"/>
      <c r="V237" s="263">
        <f t="shared" si="219"/>
        <v>40000</v>
      </c>
      <c r="W237" s="72">
        <v>417</v>
      </c>
      <c r="X237" s="261">
        <f>IFERROR(VLOOKUP(B237,'Lunch bill'!$B$6:$H$30,7,0),0)</f>
        <v>0</v>
      </c>
      <c r="Y237" s="261">
        <f t="shared" si="220"/>
        <v>1200</v>
      </c>
      <c r="Z237" s="261">
        <f>IFERROR(VLOOKUP(B237,'55 Bike '!$B$7:$J$139,9,0),0)</f>
        <v>0</v>
      </c>
      <c r="AA237" s="261"/>
      <c r="AB237" s="73">
        <f t="shared" si="221"/>
        <v>1617</v>
      </c>
      <c r="AC237" s="73">
        <f t="shared" si="222"/>
        <v>38383</v>
      </c>
      <c r="AD237" s="264" t="s">
        <v>23</v>
      </c>
      <c r="AE237" s="256" t="s">
        <v>371</v>
      </c>
      <c r="AF237" s="838"/>
      <c r="AG237" s="205"/>
      <c r="AH237" s="383"/>
      <c r="AI237" s="543"/>
      <c r="AJ237" s="548"/>
      <c r="AK237" s="548"/>
      <c r="AL237" s="198"/>
      <c r="AM237" s="320"/>
      <c r="AP237" s="198"/>
    </row>
    <row r="238" spans="1:43" s="61" customFormat="1" ht="24.95" customHeight="1">
      <c r="A238" s="253">
        <v>6</v>
      </c>
      <c r="B238" s="254" t="s">
        <v>372</v>
      </c>
      <c r="C238" s="255" t="s">
        <v>373</v>
      </c>
      <c r="D238" s="278" t="str">
        <f>VLOOKUP(B238,Attendance!$B$6:$D$385,3,0)</f>
        <v>Officer In Charge</v>
      </c>
      <c r="E238" s="278" t="s">
        <v>360</v>
      </c>
      <c r="F238" s="523">
        <v>44805</v>
      </c>
      <c r="G238" s="257">
        <f>VLOOKUP(B238,Attendance!$B$6:$G$386,6,0)</f>
        <v>31</v>
      </c>
      <c r="H238" s="258">
        <f>VLOOKUP(B$8:B$380,Attendance!$B$6:$L$386,11,0)</f>
        <v>0</v>
      </c>
      <c r="I238" s="257">
        <f t="shared" si="211"/>
        <v>31</v>
      </c>
      <c r="J238" s="258">
        <f t="shared" si="212"/>
        <v>903.22580645161293</v>
      </c>
      <c r="K238" s="72">
        <v>28000</v>
      </c>
      <c r="L238" s="72">
        <f t="shared" si="213"/>
        <v>16800</v>
      </c>
      <c r="M238" s="72">
        <f t="shared" si="214"/>
        <v>8400</v>
      </c>
      <c r="N238" s="72">
        <f t="shared" si="215"/>
        <v>1680</v>
      </c>
      <c r="O238" s="72">
        <f t="shared" si="216"/>
        <v>1120</v>
      </c>
      <c r="P238" s="259"/>
      <c r="Q238" s="260">
        <f t="shared" si="217"/>
        <v>28000</v>
      </c>
      <c r="R238" s="260">
        <f t="shared" si="218"/>
        <v>28000</v>
      </c>
      <c r="S238" s="261"/>
      <c r="T238" s="261"/>
      <c r="U238" s="809"/>
      <c r="V238" s="263">
        <f t="shared" si="219"/>
        <v>28000</v>
      </c>
      <c r="W238" s="72"/>
      <c r="X238" s="261">
        <f>IFERROR(VLOOKUP(B238,'Lunch bill'!$B$6:$H$30,7,0),0)</f>
        <v>0</v>
      </c>
      <c r="Y238" s="261">
        <f t="shared" si="220"/>
        <v>840</v>
      </c>
      <c r="Z238" s="261">
        <f>IFERROR(VLOOKUP(B238,'55 Bike '!$B$7:$J$139,9,0),0)</f>
        <v>0</v>
      </c>
      <c r="AA238" s="261"/>
      <c r="AB238" s="73">
        <f t="shared" si="221"/>
        <v>840</v>
      </c>
      <c r="AC238" s="73">
        <f t="shared" si="222"/>
        <v>27160</v>
      </c>
      <c r="AD238" s="264" t="s">
        <v>23</v>
      </c>
      <c r="AE238" s="256" t="s">
        <v>374</v>
      </c>
      <c r="AF238" s="838"/>
      <c r="AG238" s="205"/>
      <c r="AH238" s="383"/>
      <c r="AI238" s="543"/>
      <c r="AJ238" s="548"/>
      <c r="AK238" s="548"/>
      <c r="AL238" s="198"/>
      <c r="AM238" s="320"/>
      <c r="AP238" s="198"/>
    </row>
    <row r="239" spans="1:43" s="61" customFormat="1" ht="24.95" customHeight="1">
      <c r="A239" s="253">
        <v>7</v>
      </c>
      <c r="B239" s="254" t="s">
        <v>375</v>
      </c>
      <c r="C239" s="255" t="s">
        <v>376</v>
      </c>
      <c r="D239" s="278" t="str">
        <f>VLOOKUP(B239,Attendance!$B$6:$D$385,3,0)</f>
        <v>Asst. Manager</v>
      </c>
      <c r="E239" s="278" t="s">
        <v>360</v>
      </c>
      <c r="F239" s="523">
        <v>44805</v>
      </c>
      <c r="G239" s="257">
        <f>VLOOKUP(B239,Attendance!$B$6:$G$386,6,0)</f>
        <v>31</v>
      </c>
      <c r="H239" s="258">
        <f>VLOOKUP(B$8:B$380,Attendance!$B$6:$L$386,11,0)</f>
        <v>0</v>
      </c>
      <c r="I239" s="257">
        <f t="shared" si="211"/>
        <v>31</v>
      </c>
      <c r="J239" s="258">
        <f t="shared" si="212"/>
        <v>1129.0322580645161</v>
      </c>
      <c r="K239" s="72">
        <v>35000</v>
      </c>
      <c r="L239" s="72">
        <f t="shared" si="213"/>
        <v>21000</v>
      </c>
      <c r="M239" s="72">
        <f t="shared" si="214"/>
        <v>10500</v>
      </c>
      <c r="N239" s="72">
        <f t="shared" si="215"/>
        <v>2100</v>
      </c>
      <c r="O239" s="72">
        <f t="shared" si="216"/>
        <v>1400</v>
      </c>
      <c r="P239" s="259"/>
      <c r="Q239" s="260">
        <f t="shared" si="217"/>
        <v>35000</v>
      </c>
      <c r="R239" s="260">
        <f t="shared" si="218"/>
        <v>35000</v>
      </c>
      <c r="S239" s="261"/>
      <c r="T239" s="261"/>
      <c r="U239" s="809"/>
      <c r="V239" s="263">
        <f t="shared" si="219"/>
        <v>35000</v>
      </c>
      <c r="W239" s="72"/>
      <c r="X239" s="261">
        <f>IFERROR(VLOOKUP(B239,'Lunch bill'!$B$6:$H$30,7,0),0)</f>
        <v>0</v>
      </c>
      <c r="Y239" s="261">
        <f t="shared" si="220"/>
        <v>1050</v>
      </c>
      <c r="Z239" s="261">
        <f>IFERROR(VLOOKUP(B239,'55 Bike '!$B$7:$J$139,9,0),0)</f>
        <v>0</v>
      </c>
      <c r="AA239" s="261"/>
      <c r="AB239" s="73">
        <f t="shared" si="221"/>
        <v>1050</v>
      </c>
      <c r="AC239" s="73">
        <f t="shared" si="222"/>
        <v>33950</v>
      </c>
      <c r="AD239" s="264" t="s">
        <v>23</v>
      </c>
      <c r="AE239" s="256" t="s">
        <v>539</v>
      </c>
      <c r="AF239" s="838"/>
      <c r="AG239" s="205"/>
      <c r="AH239" s="383"/>
      <c r="AI239" s="543"/>
      <c r="AJ239" s="548"/>
      <c r="AK239" s="548"/>
      <c r="AL239" s="198"/>
      <c r="AM239" s="320"/>
      <c r="AP239" s="198"/>
    </row>
    <row r="240" spans="1:43" s="61" customFormat="1" ht="24.95" customHeight="1">
      <c r="A240" s="253">
        <v>8</v>
      </c>
      <c r="B240" s="254" t="s">
        <v>377</v>
      </c>
      <c r="C240" s="255" t="s">
        <v>378</v>
      </c>
      <c r="D240" s="278" t="str">
        <f>VLOOKUP(B240,Attendance!$B$6:$D$385,3,0)</f>
        <v>Store Officer</v>
      </c>
      <c r="E240" s="278" t="s">
        <v>360</v>
      </c>
      <c r="F240" s="523">
        <v>44849</v>
      </c>
      <c r="G240" s="257">
        <f>VLOOKUP(B240,Attendance!$B$6:$G$386,6,0)</f>
        <v>31</v>
      </c>
      <c r="H240" s="258">
        <f>VLOOKUP(B$8:B$380,Attendance!$B$6:$L$386,11,0)</f>
        <v>0</v>
      </c>
      <c r="I240" s="257">
        <f t="shared" si="211"/>
        <v>31</v>
      </c>
      <c r="J240" s="258">
        <f t="shared" si="212"/>
        <v>806.45161290322585</v>
      </c>
      <c r="K240" s="72">
        <v>25000</v>
      </c>
      <c r="L240" s="72">
        <f t="shared" si="213"/>
        <v>15000</v>
      </c>
      <c r="M240" s="72">
        <f t="shared" si="214"/>
        <v>7500</v>
      </c>
      <c r="N240" s="72">
        <f t="shared" si="215"/>
        <v>1500</v>
      </c>
      <c r="O240" s="72">
        <f t="shared" si="216"/>
        <v>1000</v>
      </c>
      <c r="P240" s="259"/>
      <c r="Q240" s="260">
        <f t="shared" si="217"/>
        <v>25000</v>
      </c>
      <c r="R240" s="260">
        <f t="shared" si="218"/>
        <v>25000</v>
      </c>
      <c r="S240" s="261"/>
      <c r="T240" s="261"/>
      <c r="U240" s="865"/>
      <c r="V240" s="263">
        <f t="shared" si="219"/>
        <v>25000</v>
      </c>
      <c r="W240" s="72"/>
      <c r="X240" s="261">
        <f>IFERROR(VLOOKUP(B240,'Lunch bill'!$B$6:$H$30,7,0),0)</f>
        <v>0</v>
      </c>
      <c r="Y240" s="261">
        <f t="shared" si="220"/>
        <v>750</v>
      </c>
      <c r="Z240" s="261">
        <f>IFERROR(VLOOKUP(B240,'55 Bike '!$B$7:$J$139,9,0),0)</f>
        <v>0</v>
      </c>
      <c r="AA240" s="261"/>
      <c r="AB240" s="73">
        <f t="shared" si="221"/>
        <v>750</v>
      </c>
      <c r="AC240" s="73">
        <f t="shared" si="222"/>
        <v>24250</v>
      </c>
      <c r="AD240" s="264" t="s">
        <v>23</v>
      </c>
      <c r="AE240" s="256" t="s">
        <v>379</v>
      </c>
      <c r="AF240" s="838"/>
      <c r="AG240" s="205"/>
      <c r="AH240" s="383"/>
      <c r="AI240" s="543"/>
      <c r="AJ240" s="548"/>
      <c r="AK240" s="548"/>
      <c r="AL240" s="198"/>
      <c r="AM240" s="320"/>
      <c r="AP240" s="198"/>
    </row>
    <row r="241" spans="1:43" s="30" customFormat="1" ht="24.95" customHeight="1">
      <c r="A241" s="101" t="s">
        <v>67</v>
      </c>
      <c r="B241" s="102"/>
      <c r="C241" s="103"/>
      <c r="D241" s="282"/>
      <c r="E241" s="282"/>
      <c r="F241" s="526"/>
      <c r="G241" s="105"/>
      <c r="H241" s="105"/>
      <c r="I241" s="105"/>
      <c r="J241" s="105"/>
      <c r="K241" s="107">
        <f t="shared" ref="K241:AC241" si="223">SUM(K233:K240)</f>
        <v>363500</v>
      </c>
      <c r="L241" s="107">
        <f t="shared" si="223"/>
        <v>218100</v>
      </c>
      <c r="M241" s="107">
        <f t="shared" si="223"/>
        <v>109050</v>
      </c>
      <c r="N241" s="107">
        <f t="shared" si="223"/>
        <v>21810</v>
      </c>
      <c r="O241" s="107">
        <f t="shared" si="223"/>
        <v>14540</v>
      </c>
      <c r="P241" s="107">
        <f t="shared" si="223"/>
        <v>0</v>
      </c>
      <c r="Q241" s="107">
        <f t="shared" si="223"/>
        <v>363500</v>
      </c>
      <c r="R241" s="107">
        <f t="shared" si="223"/>
        <v>363500</v>
      </c>
      <c r="S241" s="107">
        <f t="shared" si="223"/>
        <v>0</v>
      </c>
      <c r="T241" s="107">
        <f t="shared" si="223"/>
        <v>0</v>
      </c>
      <c r="U241" s="107">
        <f t="shared" si="223"/>
        <v>0</v>
      </c>
      <c r="V241" s="107">
        <f t="shared" si="223"/>
        <v>363500</v>
      </c>
      <c r="W241" s="107">
        <f t="shared" si="223"/>
        <v>8480</v>
      </c>
      <c r="X241" s="107">
        <f t="shared" si="223"/>
        <v>0</v>
      </c>
      <c r="Y241" s="107">
        <f t="shared" si="223"/>
        <v>10905</v>
      </c>
      <c r="Z241" s="107">
        <f t="shared" si="223"/>
        <v>0</v>
      </c>
      <c r="AA241" s="107">
        <f t="shared" si="223"/>
        <v>0</v>
      </c>
      <c r="AB241" s="107">
        <f t="shared" si="223"/>
        <v>19385</v>
      </c>
      <c r="AC241" s="107">
        <f t="shared" si="223"/>
        <v>344115</v>
      </c>
      <c r="AD241" s="114"/>
      <c r="AE241" s="113"/>
      <c r="AF241" s="838"/>
      <c r="AG241" s="199"/>
      <c r="AH241" s="383"/>
      <c r="AI241" s="543"/>
      <c r="AJ241" s="548"/>
      <c r="AK241" s="549"/>
      <c r="AL241" s="198"/>
      <c r="AM241" s="320"/>
      <c r="AN241" s="61"/>
      <c r="AO241" s="61"/>
      <c r="AP241" s="198"/>
      <c r="AQ241" s="61"/>
    </row>
    <row r="242" spans="1:43" s="130" customFormat="1" ht="22.5" customHeight="1">
      <c r="A242" s="89" t="s">
        <v>26</v>
      </c>
      <c r="B242" s="121"/>
      <c r="C242" s="122"/>
      <c r="D242" s="143"/>
      <c r="E242" s="143"/>
      <c r="F242" s="611"/>
      <c r="G242" s="361"/>
      <c r="H242" s="360"/>
      <c r="I242" s="123"/>
      <c r="J242" s="124"/>
      <c r="K242" s="361"/>
      <c r="L242" s="361"/>
      <c r="M242" s="361"/>
      <c r="N242" s="361"/>
      <c r="O242" s="361"/>
      <c r="P242" s="361"/>
      <c r="Q242" s="123"/>
      <c r="R242" s="123"/>
      <c r="S242" s="123"/>
      <c r="T242" s="123"/>
      <c r="U242" s="385"/>
      <c r="V242" s="14"/>
      <c r="W242" s="14"/>
      <c r="X242" s="470"/>
      <c r="Y242" s="471"/>
      <c r="Z242" s="269"/>
      <c r="AA242" s="269"/>
      <c r="AB242" s="269"/>
      <c r="AC242" s="472"/>
      <c r="AD242" s="128"/>
      <c r="AE242" s="129"/>
      <c r="AF242" s="838"/>
      <c r="AG242" s="129"/>
      <c r="AH242" s="383"/>
      <c r="AI242" s="543"/>
      <c r="AJ242" s="548"/>
      <c r="AK242" s="549"/>
      <c r="AL242" s="198"/>
      <c r="AM242" s="320"/>
      <c r="AN242" s="61"/>
      <c r="AO242" s="61"/>
      <c r="AP242" s="198"/>
      <c r="AQ242" s="61"/>
    </row>
    <row r="243" spans="1:43" s="61" customFormat="1" ht="33" customHeight="1">
      <c r="A243" s="501">
        <v>1</v>
      </c>
      <c r="B243" s="502" t="s">
        <v>514</v>
      </c>
      <c r="C243" s="329" t="s">
        <v>515</v>
      </c>
      <c r="D243" s="330" t="str">
        <f>VLOOKUP(B243,Attendance!$B$6:$D$385,3,0)</f>
        <v>Sr. Officer (Production)</v>
      </c>
      <c r="E243" s="330" t="s">
        <v>716</v>
      </c>
      <c r="F243" s="522">
        <v>44927</v>
      </c>
      <c r="G243" s="286">
        <f>VLOOKUP(B243,Attendance!$B$6:$G$386,6,0)</f>
        <v>31</v>
      </c>
      <c r="H243" s="332">
        <f>VLOOKUP(B$8:B$380,Attendance!$B$6:$L$386,11,0)</f>
        <v>0</v>
      </c>
      <c r="I243" s="286">
        <f t="shared" ref="I243:I263" si="224">G243-H243</f>
        <v>31</v>
      </c>
      <c r="J243" s="332">
        <f t="shared" ref="J243:J264" si="225">Q243/G243</f>
        <v>1638.7096774193549</v>
      </c>
      <c r="K243" s="58">
        <v>50800</v>
      </c>
      <c r="L243" s="58">
        <f t="shared" ref="L243:L263" si="226">K243*60%</f>
        <v>30480</v>
      </c>
      <c r="M243" s="58">
        <f t="shared" ref="M243:M263" si="227">K243*30%</f>
        <v>15240</v>
      </c>
      <c r="N243" s="58">
        <f t="shared" ref="N243:N263" si="228">K243*6%</f>
        <v>3048</v>
      </c>
      <c r="O243" s="58">
        <f t="shared" ref="O243:O263" si="229">K243*4%</f>
        <v>2032</v>
      </c>
      <c r="P243" s="333">
        <v>0</v>
      </c>
      <c r="Q243" s="334">
        <f t="shared" ref="Q243:Q263" si="230">SUM(L243:P243)</f>
        <v>50800</v>
      </c>
      <c r="R243" s="334">
        <f t="shared" ref="R243:R263" si="231">ROUND(I243*J243,)</f>
        <v>50800</v>
      </c>
      <c r="S243" s="393">
        <v>0</v>
      </c>
      <c r="T243" s="393">
        <v>0</v>
      </c>
      <c r="U243" s="809"/>
      <c r="V243" s="335">
        <f t="shared" ref="V243:V263" si="232">SUM(R243:U243)</f>
        <v>50800</v>
      </c>
      <c r="W243" s="58">
        <v>417</v>
      </c>
      <c r="X243" s="393">
        <f>IFERROR(VLOOKUP(B243,'Lunch bill'!$B$6:$H$30,7,0),0)</f>
        <v>0</v>
      </c>
      <c r="Y243" s="393">
        <f t="shared" ref="Y243:Y263" si="233">ROUND(IF($AH$4-F243&gt;=360,L243*5%,0),0)</f>
        <v>1524</v>
      </c>
      <c r="Z243" s="337">
        <f>IFERROR(VLOOKUP(B243,'55 Bike '!$B$7:$J$139,9,0),0)</f>
        <v>1667</v>
      </c>
      <c r="AA243" s="337"/>
      <c r="AB243" s="193">
        <f t="shared" ref="AB243:AB263" si="234">SUM(W243:AA243)</f>
        <v>3608</v>
      </c>
      <c r="AC243" s="59">
        <f t="shared" ref="AC243:AC263" si="235">ROUND(V243-AB243,0)</f>
        <v>47192</v>
      </c>
      <c r="AD243" s="504" t="s">
        <v>23</v>
      </c>
      <c r="AE243" s="331" t="s">
        <v>537</v>
      </c>
      <c r="AF243" s="838"/>
      <c r="AG243" s="205"/>
      <c r="AH243" s="383"/>
      <c r="AI243" s="543"/>
      <c r="AJ243" s="548"/>
      <c r="AK243" s="548"/>
      <c r="AL243" s="198"/>
      <c r="AM243" s="320"/>
      <c r="AP243" s="198"/>
    </row>
    <row r="244" spans="1:43" s="61" customFormat="1" ht="24.95" customHeight="1">
      <c r="A244" s="253">
        <v>2</v>
      </c>
      <c r="B244" s="254" t="s">
        <v>520</v>
      </c>
      <c r="C244" s="255" t="s">
        <v>521</v>
      </c>
      <c r="D244" s="278" t="str">
        <f>VLOOKUP(B244,Attendance!$B$6:$D$385,3,0)</f>
        <v>Officer (Production)</v>
      </c>
      <c r="E244" s="278" t="s">
        <v>380</v>
      </c>
      <c r="F244" s="523">
        <v>44947</v>
      </c>
      <c r="G244" s="257">
        <f>VLOOKUP(B244,Attendance!$B$6:$G$386,6,0)</f>
        <v>31</v>
      </c>
      <c r="H244" s="258">
        <f>VLOOKUP(B$8:B$380,Attendance!$B$6:$L$386,11,0)</f>
        <v>0</v>
      </c>
      <c r="I244" s="257">
        <f t="shared" si="224"/>
        <v>31</v>
      </c>
      <c r="J244" s="258">
        <f t="shared" si="225"/>
        <v>1519.3548387096773</v>
      </c>
      <c r="K244" s="72">
        <v>47100</v>
      </c>
      <c r="L244" s="72">
        <f t="shared" si="226"/>
        <v>28260</v>
      </c>
      <c r="M244" s="72">
        <f t="shared" si="227"/>
        <v>14130</v>
      </c>
      <c r="N244" s="72">
        <f t="shared" si="228"/>
        <v>2826</v>
      </c>
      <c r="O244" s="72">
        <f t="shared" si="229"/>
        <v>1884</v>
      </c>
      <c r="P244" s="259">
        <v>0</v>
      </c>
      <c r="Q244" s="260">
        <f t="shared" si="230"/>
        <v>47100</v>
      </c>
      <c r="R244" s="260">
        <f t="shared" si="231"/>
        <v>47100</v>
      </c>
      <c r="S244" s="261">
        <v>0</v>
      </c>
      <c r="T244" s="261">
        <v>0</v>
      </c>
      <c r="U244" s="809"/>
      <c r="V244" s="263">
        <f t="shared" si="232"/>
        <v>47100</v>
      </c>
      <c r="W244" s="72">
        <v>417</v>
      </c>
      <c r="X244" s="261">
        <f>IFERROR(VLOOKUP(B244,'Lunch bill'!$B$6:$H$30,7,0),0)</f>
        <v>0</v>
      </c>
      <c r="Y244" s="261">
        <f t="shared" si="233"/>
        <v>1413</v>
      </c>
      <c r="Z244" s="261">
        <f>IFERROR(VLOOKUP(B244,'55 Bike '!$B$7:$J$139,9,0),0)</f>
        <v>842</v>
      </c>
      <c r="AA244" s="261"/>
      <c r="AB244" s="73">
        <f t="shared" si="234"/>
        <v>2672</v>
      </c>
      <c r="AC244" s="73">
        <f t="shared" si="235"/>
        <v>44428</v>
      </c>
      <c r="AD244" s="264" t="s">
        <v>23</v>
      </c>
      <c r="AE244" s="256" t="s">
        <v>538</v>
      </c>
      <c r="AF244" s="838"/>
      <c r="AG244" s="205"/>
      <c r="AH244" s="383"/>
      <c r="AI244" s="543"/>
      <c r="AJ244" s="548"/>
      <c r="AK244" s="548"/>
      <c r="AL244" s="198"/>
      <c r="AM244" s="320"/>
      <c r="AP244" s="198"/>
    </row>
    <row r="245" spans="1:43" s="61" customFormat="1" ht="24.95" customHeight="1">
      <c r="A245" s="253">
        <v>3</v>
      </c>
      <c r="B245" s="254" t="s">
        <v>558</v>
      </c>
      <c r="C245" s="255" t="s">
        <v>559</v>
      </c>
      <c r="D245" s="278" t="str">
        <f>VLOOKUP(B245,Attendance!$B$6:$D$385,3,0)</f>
        <v>STSO</v>
      </c>
      <c r="E245" s="278" t="s">
        <v>203</v>
      </c>
      <c r="F245" s="523">
        <v>44977</v>
      </c>
      <c r="G245" s="257">
        <f>VLOOKUP(B245,Attendance!$B$6:$G$386,6,0)</f>
        <v>31</v>
      </c>
      <c r="H245" s="258">
        <f>VLOOKUP(B$8:B$380,Attendance!$B$6:$L$386,11,0)</f>
        <v>0</v>
      </c>
      <c r="I245" s="257">
        <f t="shared" si="224"/>
        <v>31</v>
      </c>
      <c r="J245" s="258">
        <f t="shared" si="225"/>
        <v>993.54838709677415</v>
      </c>
      <c r="K245" s="72">
        <v>30800</v>
      </c>
      <c r="L245" s="72">
        <f t="shared" si="226"/>
        <v>18480</v>
      </c>
      <c r="M245" s="72">
        <f t="shared" si="227"/>
        <v>9240</v>
      </c>
      <c r="N245" s="72">
        <f t="shared" si="228"/>
        <v>1848</v>
      </c>
      <c r="O245" s="72">
        <f t="shared" si="229"/>
        <v>1232</v>
      </c>
      <c r="P245" s="259"/>
      <c r="Q245" s="260">
        <f t="shared" si="230"/>
        <v>30800</v>
      </c>
      <c r="R245" s="260">
        <f t="shared" si="231"/>
        <v>30800</v>
      </c>
      <c r="S245" s="261"/>
      <c r="T245" s="261"/>
      <c r="U245" s="809"/>
      <c r="V245" s="263">
        <f t="shared" si="232"/>
        <v>30800</v>
      </c>
      <c r="W245" s="72"/>
      <c r="X245" s="261">
        <f>IFERROR(VLOOKUP(B245,'Lunch bill'!$B$6:$H$30,7,0),0)</f>
        <v>0</v>
      </c>
      <c r="Y245" s="261">
        <f t="shared" si="233"/>
        <v>924</v>
      </c>
      <c r="Z245" s="261">
        <f>IFERROR(VLOOKUP(B245,'55 Bike '!$B$7:$J$139,9,0),0)</f>
        <v>2160</v>
      </c>
      <c r="AA245" s="261"/>
      <c r="AB245" s="73">
        <f t="shared" si="234"/>
        <v>3084</v>
      </c>
      <c r="AC245" s="73">
        <f t="shared" si="235"/>
        <v>27716</v>
      </c>
      <c r="AD245" s="264" t="s">
        <v>23</v>
      </c>
      <c r="AE245" s="256" t="s">
        <v>572</v>
      </c>
      <c r="AF245" s="838"/>
      <c r="AG245" s="205"/>
      <c r="AH245" s="383"/>
      <c r="AI245" s="543"/>
      <c r="AJ245" s="548"/>
      <c r="AK245" s="548"/>
      <c r="AL245" s="198"/>
      <c r="AM245" s="320"/>
      <c r="AP245" s="198"/>
    </row>
    <row r="246" spans="1:43" s="61" customFormat="1" ht="23.25" customHeight="1">
      <c r="A246" s="253">
        <v>4</v>
      </c>
      <c r="B246" s="254" t="s">
        <v>588</v>
      </c>
      <c r="C246" s="255" t="s">
        <v>589</v>
      </c>
      <c r="D246" s="278" t="str">
        <f>VLOOKUP(B246,Attendance!$B$6:$D$385,3,0)</f>
        <v>STSO</v>
      </c>
      <c r="E246" s="278" t="s">
        <v>590</v>
      </c>
      <c r="F246" s="523">
        <v>45000</v>
      </c>
      <c r="G246" s="257">
        <f>VLOOKUP(B246,Attendance!$B$6:$G$386,6,0)</f>
        <v>31</v>
      </c>
      <c r="H246" s="258">
        <f>VLOOKUP(B$8:B$380,Attendance!$B$6:$L$386,11,0)</f>
        <v>0</v>
      </c>
      <c r="I246" s="257">
        <f t="shared" si="224"/>
        <v>31</v>
      </c>
      <c r="J246" s="258">
        <f t="shared" si="225"/>
        <v>1080.6451612903227</v>
      </c>
      <c r="K246" s="72">
        <v>33500</v>
      </c>
      <c r="L246" s="72">
        <f t="shared" si="226"/>
        <v>20100</v>
      </c>
      <c r="M246" s="72">
        <f t="shared" si="227"/>
        <v>10050</v>
      </c>
      <c r="N246" s="72">
        <f t="shared" si="228"/>
        <v>2010</v>
      </c>
      <c r="O246" s="72">
        <f t="shared" si="229"/>
        <v>1340</v>
      </c>
      <c r="P246" s="259"/>
      <c r="Q246" s="260">
        <f t="shared" si="230"/>
        <v>33500</v>
      </c>
      <c r="R246" s="260">
        <f t="shared" si="231"/>
        <v>33500</v>
      </c>
      <c r="S246" s="261"/>
      <c r="T246" s="261"/>
      <c r="U246" s="809"/>
      <c r="V246" s="263">
        <f t="shared" si="232"/>
        <v>33500</v>
      </c>
      <c r="W246" s="72"/>
      <c r="X246" s="261">
        <f>IFERROR(VLOOKUP(B246,'Lunch bill'!$B$6:$H$30,7,0),0)</f>
        <v>0</v>
      </c>
      <c r="Y246" s="261">
        <f t="shared" si="233"/>
        <v>1005</v>
      </c>
      <c r="Z246" s="261">
        <f>IFERROR(VLOOKUP(B246,'55 Bike '!$B$7:$J$139,9,0),0)</f>
        <v>2160</v>
      </c>
      <c r="AA246" s="261"/>
      <c r="AB246" s="73">
        <f t="shared" si="234"/>
        <v>3165</v>
      </c>
      <c r="AC246" s="73">
        <f t="shared" si="235"/>
        <v>30335</v>
      </c>
      <c r="AD246" s="264" t="s">
        <v>23</v>
      </c>
      <c r="AE246" s="256" t="s">
        <v>599</v>
      </c>
      <c r="AF246" s="838"/>
      <c r="AG246" s="205"/>
      <c r="AH246" s="383"/>
      <c r="AI246" s="543"/>
      <c r="AJ246" s="548"/>
      <c r="AK246" s="548"/>
      <c r="AL246" s="198"/>
      <c r="AM246" s="320"/>
      <c r="AP246" s="198"/>
    </row>
    <row r="247" spans="1:43" s="47" customFormat="1" ht="24.75" customHeight="1">
      <c r="A247" s="253">
        <v>5</v>
      </c>
      <c r="B247" s="254" t="s">
        <v>641</v>
      </c>
      <c r="C247" s="255" t="s">
        <v>642</v>
      </c>
      <c r="D247" s="278" t="str">
        <f>VLOOKUP(B247,Attendance!$B$6:$D$385,3,0)</f>
        <v>Territory Manager</v>
      </c>
      <c r="E247" s="278" t="s">
        <v>203</v>
      </c>
      <c r="F247" s="523">
        <v>45048</v>
      </c>
      <c r="G247" s="257">
        <f>VLOOKUP(B247,Attendance!$B$6:$G$386,6,0)</f>
        <v>31</v>
      </c>
      <c r="H247" s="258">
        <f>VLOOKUP(B$8:B$380,Attendance!$B$6:$L$386,11,0)</f>
        <v>0</v>
      </c>
      <c r="I247" s="257">
        <f t="shared" si="224"/>
        <v>31</v>
      </c>
      <c r="J247" s="258">
        <f t="shared" si="225"/>
        <v>1190.3225806451612</v>
      </c>
      <c r="K247" s="72">
        <v>36900</v>
      </c>
      <c r="L247" s="72">
        <f t="shared" si="226"/>
        <v>22140</v>
      </c>
      <c r="M247" s="72">
        <f t="shared" si="227"/>
        <v>11070</v>
      </c>
      <c r="N247" s="72">
        <f t="shared" si="228"/>
        <v>2214</v>
      </c>
      <c r="O247" s="72">
        <f t="shared" si="229"/>
        <v>1476</v>
      </c>
      <c r="P247" s="259"/>
      <c r="Q247" s="260">
        <f t="shared" si="230"/>
        <v>36900</v>
      </c>
      <c r="R247" s="260">
        <f t="shared" si="231"/>
        <v>36900</v>
      </c>
      <c r="S247" s="261"/>
      <c r="T247" s="261"/>
      <c r="U247" s="809"/>
      <c r="V247" s="263">
        <f t="shared" si="232"/>
        <v>36900</v>
      </c>
      <c r="W247" s="72"/>
      <c r="X247" s="261">
        <f>IFERROR(VLOOKUP(B247,'Lunch bill'!$B$6:$H$30,7,0),0)</f>
        <v>0</v>
      </c>
      <c r="Y247" s="261">
        <f t="shared" si="233"/>
        <v>1107</v>
      </c>
      <c r="Z247" s="261">
        <f>IFERROR(VLOOKUP(B247,'55 Bike '!$B$7:$J$139,9,0),0)</f>
        <v>0</v>
      </c>
      <c r="AA247" s="261"/>
      <c r="AB247" s="73">
        <f t="shared" si="234"/>
        <v>1107</v>
      </c>
      <c r="AC247" s="73">
        <f t="shared" si="235"/>
        <v>35793</v>
      </c>
      <c r="AD247" s="264" t="s">
        <v>23</v>
      </c>
      <c r="AE247" s="256" t="s">
        <v>1277</v>
      </c>
      <c r="AF247" s="838"/>
      <c r="AG247" s="205"/>
      <c r="AH247" s="383"/>
      <c r="AI247" s="543"/>
      <c r="AJ247" s="564"/>
      <c r="AK247" s="547"/>
      <c r="AL247" s="183"/>
      <c r="AM247" s="319"/>
      <c r="AN247" s="61"/>
      <c r="AO247" s="61"/>
      <c r="AP247" s="198"/>
      <c r="AQ247" s="61"/>
    </row>
    <row r="248" spans="1:43" s="61" customFormat="1" ht="25.5" customHeight="1">
      <c r="A248" s="253">
        <v>6</v>
      </c>
      <c r="B248" s="254" t="s">
        <v>645</v>
      </c>
      <c r="C248" s="255" t="s">
        <v>646</v>
      </c>
      <c r="D248" s="278" t="str">
        <f>VLOOKUP(B248,Attendance!$B$6:$D$385,3,0)</f>
        <v>STSO</v>
      </c>
      <c r="E248" s="278" t="s">
        <v>203</v>
      </c>
      <c r="F248" s="523">
        <v>45048</v>
      </c>
      <c r="G248" s="257">
        <f>VLOOKUP(B248,Attendance!$B$6:$G$386,6,0)</f>
        <v>31</v>
      </c>
      <c r="H248" s="258">
        <f>VLOOKUP(B$8:B$380,Attendance!$B$6:$L$386,11,0)</f>
        <v>0</v>
      </c>
      <c r="I248" s="257">
        <f t="shared" si="224"/>
        <v>31</v>
      </c>
      <c r="J248" s="258">
        <f t="shared" si="225"/>
        <v>1006.4516129032259</v>
      </c>
      <c r="K248" s="72">
        <v>31200</v>
      </c>
      <c r="L248" s="72">
        <f t="shared" si="226"/>
        <v>18720</v>
      </c>
      <c r="M248" s="72">
        <f t="shared" si="227"/>
        <v>9360</v>
      </c>
      <c r="N248" s="72">
        <f t="shared" si="228"/>
        <v>1872</v>
      </c>
      <c r="O248" s="72">
        <f t="shared" si="229"/>
        <v>1248</v>
      </c>
      <c r="P248" s="259"/>
      <c r="Q248" s="260">
        <f t="shared" si="230"/>
        <v>31200</v>
      </c>
      <c r="R248" s="260">
        <f t="shared" si="231"/>
        <v>31200</v>
      </c>
      <c r="S248" s="261"/>
      <c r="T248" s="261"/>
      <c r="U248" s="809"/>
      <c r="V248" s="263">
        <f t="shared" si="232"/>
        <v>31200</v>
      </c>
      <c r="W248" s="72"/>
      <c r="X248" s="261">
        <f>IFERROR(VLOOKUP(B248,'Lunch bill'!$B$6:$H$30,7,0),0)</f>
        <v>0</v>
      </c>
      <c r="Y248" s="261">
        <f t="shared" si="233"/>
        <v>936</v>
      </c>
      <c r="Z248" s="261">
        <f>IFERROR(VLOOKUP(B248,'55 Bike '!$B$7:$J$139,9,0),0)</f>
        <v>2160</v>
      </c>
      <c r="AA248" s="261"/>
      <c r="AB248" s="73">
        <f t="shared" si="234"/>
        <v>3096</v>
      </c>
      <c r="AC248" s="73">
        <f t="shared" si="235"/>
        <v>28104</v>
      </c>
      <c r="AD248" s="264" t="s">
        <v>23</v>
      </c>
      <c r="AE248" s="256" t="s">
        <v>671</v>
      </c>
      <c r="AF248" s="838"/>
      <c r="AG248" s="205"/>
      <c r="AH248" s="383"/>
      <c r="AI248" s="543"/>
      <c r="AJ248" s="548"/>
      <c r="AK248" s="548"/>
      <c r="AL248" s="198"/>
      <c r="AM248" s="320"/>
      <c r="AP248" s="198"/>
    </row>
    <row r="249" spans="1:43" s="61" customFormat="1" ht="24.95" customHeight="1">
      <c r="A249" s="253">
        <v>7</v>
      </c>
      <c r="B249" s="254" t="s">
        <v>667</v>
      </c>
      <c r="C249" s="255" t="s">
        <v>378</v>
      </c>
      <c r="D249" s="278" t="str">
        <f>VLOOKUP(B249,Attendance!$B$6:$D$385,3,0)</f>
        <v>Driver</v>
      </c>
      <c r="E249" s="278" t="s">
        <v>137</v>
      </c>
      <c r="F249" s="523">
        <v>45054</v>
      </c>
      <c r="G249" s="257">
        <f>VLOOKUP(B249,Attendance!$B$6:$G$386,6,0)</f>
        <v>31</v>
      </c>
      <c r="H249" s="258">
        <f>VLOOKUP(B$8:B$380,Attendance!$B$6:$L$386,11,0)</f>
        <v>0</v>
      </c>
      <c r="I249" s="257">
        <f t="shared" si="224"/>
        <v>31</v>
      </c>
      <c r="J249" s="258">
        <f t="shared" si="225"/>
        <v>661.29032258064512</v>
      </c>
      <c r="K249" s="72">
        <v>20500</v>
      </c>
      <c r="L249" s="72">
        <f t="shared" si="226"/>
        <v>12300</v>
      </c>
      <c r="M249" s="72">
        <f t="shared" si="227"/>
        <v>6150</v>
      </c>
      <c r="N249" s="72">
        <f t="shared" si="228"/>
        <v>1230</v>
      </c>
      <c r="O249" s="72">
        <f t="shared" si="229"/>
        <v>820</v>
      </c>
      <c r="P249" s="259"/>
      <c r="Q249" s="260">
        <f t="shared" si="230"/>
        <v>20500</v>
      </c>
      <c r="R249" s="260">
        <f t="shared" si="231"/>
        <v>20500</v>
      </c>
      <c r="S249" s="261"/>
      <c r="T249" s="261"/>
      <c r="U249" s="809"/>
      <c r="V249" s="263">
        <f t="shared" si="232"/>
        <v>20500</v>
      </c>
      <c r="W249" s="72"/>
      <c r="X249" s="261">
        <f>IFERROR(VLOOKUP(B249,'Lunch bill'!$B$6:$H$30,7,0),0)</f>
        <v>0</v>
      </c>
      <c r="Y249" s="261">
        <f t="shared" si="233"/>
        <v>615</v>
      </c>
      <c r="Z249" s="261">
        <f>IFERROR(VLOOKUP(B249,'55 Bike '!$B$7:$J$139,9,0),0)</f>
        <v>0</v>
      </c>
      <c r="AA249" s="261"/>
      <c r="AB249" s="73">
        <f t="shared" si="234"/>
        <v>615</v>
      </c>
      <c r="AC249" s="73">
        <f t="shared" si="235"/>
        <v>19885</v>
      </c>
      <c r="AD249" s="264" t="s">
        <v>23</v>
      </c>
      <c r="AE249" s="256" t="s">
        <v>713</v>
      </c>
      <c r="AF249" s="838"/>
      <c r="AG249" s="205"/>
      <c r="AH249" s="383"/>
      <c r="AI249" s="543"/>
      <c r="AJ249" s="548"/>
      <c r="AK249" s="548"/>
      <c r="AL249" s="198"/>
      <c r="AM249" s="320"/>
      <c r="AP249" s="198"/>
    </row>
    <row r="250" spans="1:43" s="61" customFormat="1" ht="22.5" customHeight="1">
      <c r="A250" s="253">
        <v>8</v>
      </c>
      <c r="B250" s="254" t="s">
        <v>694</v>
      </c>
      <c r="C250" s="255" t="s">
        <v>695</v>
      </c>
      <c r="D250" s="278" t="str">
        <f>VLOOKUP(B250,Attendance!$B$6:$D$385,3,0)</f>
        <v>Assistant Manager</v>
      </c>
      <c r="E250" s="278" t="s">
        <v>705</v>
      </c>
      <c r="F250" s="523">
        <v>45078</v>
      </c>
      <c r="G250" s="257">
        <f>VLOOKUP(B250,Attendance!$B$6:$G$386,6,0)</f>
        <v>31</v>
      </c>
      <c r="H250" s="258">
        <f>VLOOKUP(B$8:B$380,Attendance!$B$6:$L$386,11,0)</f>
        <v>0</v>
      </c>
      <c r="I250" s="257">
        <f t="shared" si="224"/>
        <v>31</v>
      </c>
      <c r="J250" s="258">
        <f t="shared" si="225"/>
        <v>2903.2258064516127</v>
      </c>
      <c r="K250" s="72">
        <v>90000</v>
      </c>
      <c r="L250" s="72">
        <f t="shared" si="226"/>
        <v>54000</v>
      </c>
      <c r="M250" s="72">
        <f t="shared" si="227"/>
        <v>27000</v>
      </c>
      <c r="N250" s="72">
        <f t="shared" si="228"/>
        <v>5400</v>
      </c>
      <c r="O250" s="72">
        <f t="shared" si="229"/>
        <v>3600</v>
      </c>
      <c r="P250" s="259"/>
      <c r="Q250" s="260">
        <f t="shared" si="230"/>
        <v>90000</v>
      </c>
      <c r="R250" s="260">
        <f t="shared" si="231"/>
        <v>90000</v>
      </c>
      <c r="S250" s="261"/>
      <c r="T250" s="261"/>
      <c r="U250" s="809"/>
      <c r="V250" s="263">
        <f t="shared" si="232"/>
        <v>90000</v>
      </c>
      <c r="W250" s="72">
        <v>1287</v>
      </c>
      <c r="X250" s="261">
        <f>IFERROR(VLOOKUP(B250,'Lunch bill'!$B$6:$H$30,7,0),0)</f>
        <v>0</v>
      </c>
      <c r="Y250" s="261">
        <f t="shared" si="233"/>
        <v>2700</v>
      </c>
      <c r="Z250" s="261">
        <f>IFERROR(VLOOKUP(B250,'55 Bike '!$B$7:$J$139,9,0),0)</f>
        <v>0</v>
      </c>
      <c r="AA250" s="261"/>
      <c r="AB250" s="73">
        <f t="shared" si="234"/>
        <v>3987</v>
      </c>
      <c r="AC250" s="73">
        <f t="shared" si="235"/>
        <v>86013</v>
      </c>
      <c r="AD250" s="264" t="s">
        <v>23</v>
      </c>
      <c r="AE250" s="256" t="s">
        <v>706</v>
      </c>
      <c r="AF250" s="838"/>
      <c r="AG250" s="205"/>
      <c r="AH250" s="383"/>
      <c r="AI250" s="543"/>
      <c r="AJ250" s="548"/>
      <c r="AK250" s="548"/>
      <c r="AL250" s="198"/>
      <c r="AM250" s="320"/>
      <c r="AP250" s="198"/>
    </row>
    <row r="251" spans="1:43" s="61" customFormat="1" ht="24.95" customHeight="1">
      <c r="A251" s="253">
        <v>9</v>
      </c>
      <c r="B251" s="254" t="s">
        <v>700</v>
      </c>
      <c r="C251" s="255" t="s">
        <v>701</v>
      </c>
      <c r="D251" s="278" t="str">
        <f>VLOOKUP(B251,Attendance!$B$6:$D$385,3,0)</f>
        <v>TSO</v>
      </c>
      <c r="E251" s="278" t="s">
        <v>203</v>
      </c>
      <c r="F251" s="523">
        <v>45088</v>
      </c>
      <c r="G251" s="257">
        <f>VLOOKUP(B251,Attendance!$B$6:$G$386,6,0)</f>
        <v>31</v>
      </c>
      <c r="H251" s="258">
        <f>VLOOKUP(B$8:B$380,Attendance!$B$6:$L$386,11,0)</f>
        <v>0</v>
      </c>
      <c r="I251" s="257">
        <f t="shared" si="224"/>
        <v>31</v>
      </c>
      <c r="J251" s="258">
        <f t="shared" si="225"/>
        <v>1000</v>
      </c>
      <c r="K251" s="72">
        <v>31000</v>
      </c>
      <c r="L251" s="72">
        <f t="shared" si="226"/>
        <v>18600</v>
      </c>
      <c r="M251" s="72">
        <f t="shared" si="227"/>
        <v>9300</v>
      </c>
      <c r="N251" s="72">
        <f t="shared" si="228"/>
        <v>1860</v>
      </c>
      <c r="O251" s="72">
        <f t="shared" si="229"/>
        <v>1240</v>
      </c>
      <c r="P251" s="259"/>
      <c r="Q251" s="260">
        <f t="shared" si="230"/>
        <v>31000</v>
      </c>
      <c r="R251" s="260">
        <f t="shared" si="231"/>
        <v>31000</v>
      </c>
      <c r="S251" s="261"/>
      <c r="T251" s="261"/>
      <c r="U251" s="809"/>
      <c r="V251" s="263">
        <f t="shared" si="232"/>
        <v>31000</v>
      </c>
      <c r="W251" s="72"/>
      <c r="X251" s="261">
        <f>IFERROR(VLOOKUP(B251,'Lunch bill'!$B$6:$H$30,7,0),0)</f>
        <v>0</v>
      </c>
      <c r="Y251" s="261">
        <f t="shared" si="233"/>
        <v>930</v>
      </c>
      <c r="Z251" s="261">
        <f>IFERROR(VLOOKUP(B251,'55 Bike '!$B$7:$J$139,9,0),0)</f>
        <v>2160</v>
      </c>
      <c r="AA251" s="261"/>
      <c r="AB251" s="73">
        <f t="shared" si="234"/>
        <v>3090</v>
      </c>
      <c r="AC251" s="73">
        <f t="shared" si="235"/>
        <v>27910</v>
      </c>
      <c r="AD251" s="264" t="s">
        <v>23</v>
      </c>
      <c r="AE251" s="256" t="s">
        <v>709</v>
      </c>
      <c r="AF251" s="838"/>
      <c r="AG251" s="205"/>
      <c r="AH251" s="383"/>
      <c r="AI251" s="543"/>
      <c r="AJ251" s="548"/>
      <c r="AK251" s="548"/>
      <c r="AL251" s="198"/>
      <c r="AM251" s="320"/>
      <c r="AP251" s="198"/>
    </row>
    <row r="252" spans="1:43" s="61" customFormat="1" ht="24.95" customHeight="1">
      <c r="A252" s="253">
        <v>10</v>
      </c>
      <c r="B252" s="254" t="s">
        <v>702</v>
      </c>
      <c r="C252" s="255" t="s">
        <v>703</v>
      </c>
      <c r="D252" s="278" t="str">
        <f>VLOOKUP(B252,Attendance!$B$6:$D$385,3,0)</f>
        <v>Night Gurd</v>
      </c>
      <c r="E252" s="278" t="s">
        <v>718</v>
      </c>
      <c r="F252" s="523">
        <v>45078</v>
      </c>
      <c r="G252" s="257">
        <f>VLOOKUP(B252,Attendance!$B$6:$G$386,6,0)</f>
        <v>31</v>
      </c>
      <c r="H252" s="258">
        <f>VLOOKUP(B$8:B$380,Attendance!$B$6:$L$386,11,0)</f>
        <v>0</v>
      </c>
      <c r="I252" s="257">
        <f t="shared" si="224"/>
        <v>31</v>
      </c>
      <c r="J252" s="258">
        <f t="shared" si="225"/>
        <v>441.93548387096774</v>
      </c>
      <c r="K252" s="72">
        <v>13700</v>
      </c>
      <c r="L252" s="72">
        <f t="shared" si="226"/>
        <v>8220</v>
      </c>
      <c r="M252" s="72">
        <f t="shared" si="227"/>
        <v>4110</v>
      </c>
      <c r="N252" s="72">
        <f t="shared" si="228"/>
        <v>822</v>
      </c>
      <c r="O252" s="72">
        <f t="shared" si="229"/>
        <v>548</v>
      </c>
      <c r="P252" s="259"/>
      <c r="Q252" s="260">
        <f t="shared" si="230"/>
        <v>13700</v>
      </c>
      <c r="R252" s="260">
        <f t="shared" si="231"/>
        <v>13700</v>
      </c>
      <c r="S252" s="261"/>
      <c r="T252" s="261"/>
      <c r="U252" s="809"/>
      <c r="V252" s="263">
        <f t="shared" si="232"/>
        <v>13700</v>
      </c>
      <c r="W252" s="72"/>
      <c r="X252" s="261">
        <f>IFERROR(VLOOKUP(B252,'Lunch bill'!$B$6:$H$30,7,0),0)</f>
        <v>0</v>
      </c>
      <c r="Y252" s="261">
        <f t="shared" si="233"/>
        <v>411</v>
      </c>
      <c r="Z252" s="261">
        <f>IFERROR(VLOOKUP(B252,'55 Bike '!$B$7:$J$139,9,0),0)</f>
        <v>0</v>
      </c>
      <c r="AA252" s="261"/>
      <c r="AB252" s="73">
        <f t="shared" si="234"/>
        <v>411</v>
      </c>
      <c r="AC252" s="73">
        <f t="shared" si="235"/>
        <v>13289</v>
      </c>
      <c r="AD252" s="264" t="s">
        <v>23</v>
      </c>
      <c r="AE252" s="256" t="s">
        <v>707</v>
      </c>
      <c r="AF252" s="838"/>
      <c r="AG252" s="205"/>
      <c r="AH252" s="383"/>
      <c r="AI252" s="543"/>
      <c r="AJ252" s="548"/>
      <c r="AK252" s="548"/>
      <c r="AL252" s="198"/>
      <c r="AM252" s="320"/>
      <c r="AP252" s="198"/>
    </row>
    <row r="253" spans="1:43" s="61" customFormat="1" ht="24.95" customHeight="1">
      <c r="A253" s="253">
        <v>11</v>
      </c>
      <c r="B253" s="254" t="s">
        <v>849</v>
      </c>
      <c r="C253" s="255" t="s">
        <v>850</v>
      </c>
      <c r="D253" s="278" t="str">
        <f>VLOOKUP(B253,Attendance!$B$6:$D$385,3,0)</f>
        <v>Office Assistant</v>
      </c>
      <c r="E253" s="278" t="s">
        <v>517</v>
      </c>
      <c r="F253" s="523">
        <v>45139</v>
      </c>
      <c r="G253" s="257">
        <f>VLOOKUP(B253,Attendance!$B$6:$G$386,6,0)</f>
        <v>31</v>
      </c>
      <c r="H253" s="258">
        <f>VLOOKUP(B$8:B$380,Attendance!$B$6:$L$386,11,0)</f>
        <v>0</v>
      </c>
      <c r="I253" s="257">
        <f t="shared" si="224"/>
        <v>31</v>
      </c>
      <c r="J253" s="258">
        <f t="shared" si="225"/>
        <v>506.45161290322579</v>
      </c>
      <c r="K253" s="72">
        <v>15700</v>
      </c>
      <c r="L253" s="72">
        <f t="shared" si="226"/>
        <v>9420</v>
      </c>
      <c r="M253" s="72">
        <f t="shared" si="227"/>
        <v>4710</v>
      </c>
      <c r="N253" s="72">
        <f t="shared" si="228"/>
        <v>942</v>
      </c>
      <c r="O253" s="72">
        <f t="shared" si="229"/>
        <v>628</v>
      </c>
      <c r="P253" s="259"/>
      <c r="Q253" s="260">
        <f t="shared" si="230"/>
        <v>15700</v>
      </c>
      <c r="R253" s="260">
        <f t="shared" si="231"/>
        <v>15700</v>
      </c>
      <c r="S253" s="261"/>
      <c r="T253" s="261"/>
      <c r="U253" s="809"/>
      <c r="V253" s="263">
        <f t="shared" si="232"/>
        <v>15700</v>
      </c>
      <c r="W253" s="72"/>
      <c r="X253" s="261">
        <f>IFERROR(VLOOKUP(B253,'Lunch bill'!$B$6:$H$30,7,0),0)</f>
        <v>0</v>
      </c>
      <c r="Y253" s="261">
        <f t="shared" si="233"/>
        <v>471</v>
      </c>
      <c r="Z253" s="261">
        <f>IFERROR(VLOOKUP(B253,'55 Bike '!$B$7:$J$139,9,0),0)</f>
        <v>0</v>
      </c>
      <c r="AA253" s="261"/>
      <c r="AB253" s="73">
        <f t="shared" si="234"/>
        <v>471</v>
      </c>
      <c r="AC253" s="73">
        <f t="shared" si="235"/>
        <v>15229</v>
      </c>
      <c r="AD253" s="264" t="s">
        <v>23</v>
      </c>
      <c r="AE253" s="256" t="s">
        <v>874</v>
      </c>
      <c r="AF253" s="838"/>
      <c r="AG253" s="205"/>
      <c r="AH253" s="383"/>
      <c r="AI253" s="543"/>
      <c r="AJ253" s="548"/>
      <c r="AK253" s="548"/>
      <c r="AL253" s="198"/>
      <c r="AM253" s="320"/>
      <c r="AP253" s="198"/>
    </row>
    <row r="254" spans="1:43" s="61" customFormat="1" ht="24.95" customHeight="1">
      <c r="A254" s="253">
        <v>12</v>
      </c>
      <c r="B254" s="254" t="s">
        <v>851</v>
      </c>
      <c r="C254" s="255" t="s">
        <v>852</v>
      </c>
      <c r="D254" s="278" t="str">
        <f>VLOOKUP(B254,Attendance!$B$6:$D$385,3,0)</f>
        <v>Territory Manager</v>
      </c>
      <c r="E254" s="278" t="s">
        <v>517</v>
      </c>
      <c r="F254" s="523">
        <v>45139</v>
      </c>
      <c r="G254" s="257">
        <f>VLOOKUP(B254,Attendance!$B$6:$G$386,6,0)</f>
        <v>31</v>
      </c>
      <c r="H254" s="258">
        <f>VLOOKUP(B$8:B$380,Attendance!$B$6:$L$386,11,0)</f>
        <v>0</v>
      </c>
      <c r="I254" s="257">
        <f t="shared" si="224"/>
        <v>31</v>
      </c>
      <c r="J254" s="258">
        <f t="shared" si="225"/>
        <v>1209.6774193548388</v>
      </c>
      <c r="K254" s="72">
        <v>37500</v>
      </c>
      <c r="L254" s="72">
        <f t="shared" si="226"/>
        <v>22500</v>
      </c>
      <c r="M254" s="72">
        <f t="shared" si="227"/>
        <v>11250</v>
      </c>
      <c r="N254" s="72">
        <f t="shared" si="228"/>
        <v>2250</v>
      </c>
      <c r="O254" s="72">
        <f t="shared" si="229"/>
        <v>1500</v>
      </c>
      <c r="P254" s="259"/>
      <c r="Q254" s="260">
        <f t="shared" si="230"/>
        <v>37500</v>
      </c>
      <c r="R254" s="260">
        <f t="shared" si="231"/>
        <v>37500</v>
      </c>
      <c r="S254" s="261"/>
      <c r="T254" s="261"/>
      <c r="U254" s="809"/>
      <c r="V254" s="263">
        <f t="shared" si="232"/>
        <v>37500</v>
      </c>
      <c r="W254" s="72"/>
      <c r="X254" s="261">
        <f>IFERROR(VLOOKUP(B254,'Lunch bill'!$B$6:$H$30,7,0),0)</f>
        <v>0</v>
      </c>
      <c r="Y254" s="261">
        <f t="shared" si="233"/>
        <v>1125</v>
      </c>
      <c r="Z254" s="261">
        <f>IFERROR(VLOOKUP(B254,'55 Bike '!$B$7:$J$139,9,0),0)</f>
        <v>2160</v>
      </c>
      <c r="AA254" s="261"/>
      <c r="AB254" s="73">
        <f t="shared" si="234"/>
        <v>3285</v>
      </c>
      <c r="AC254" s="73">
        <f t="shared" si="235"/>
        <v>34215</v>
      </c>
      <c r="AD254" s="264" t="s">
        <v>23</v>
      </c>
      <c r="AE254" s="256" t="s">
        <v>875</v>
      </c>
      <c r="AF254" s="838"/>
      <c r="AG254" s="205"/>
      <c r="AH254" s="383"/>
      <c r="AI254" s="543"/>
      <c r="AJ254" s="548"/>
      <c r="AK254" s="548"/>
      <c r="AL254" s="198"/>
      <c r="AM254" s="320"/>
      <c r="AP254" s="198"/>
    </row>
    <row r="255" spans="1:43" s="61" customFormat="1" ht="24.95" customHeight="1">
      <c r="A255" s="253">
        <v>13</v>
      </c>
      <c r="B255" s="254" t="s">
        <v>914</v>
      </c>
      <c r="C255" s="255" t="s">
        <v>915</v>
      </c>
      <c r="D255" s="278" t="str">
        <f>VLOOKUP(B255,Attendance!$B$6:$D$385,3,0)</f>
        <v>Sr. Territory Sales officer</v>
      </c>
      <c r="E255" s="278" t="s">
        <v>517</v>
      </c>
      <c r="F255" s="523">
        <v>45185</v>
      </c>
      <c r="G255" s="257">
        <f>VLOOKUP(B255,Attendance!$B$6:$G$386,6,0)</f>
        <v>31</v>
      </c>
      <c r="H255" s="258">
        <f>VLOOKUP(B$8:B$380,Attendance!$B$6:$L$386,11,0)</f>
        <v>0</v>
      </c>
      <c r="I255" s="257">
        <f t="shared" si="224"/>
        <v>31</v>
      </c>
      <c r="J255" s="258">
        <f t="shared" si="225"/>
        <v>948.38709677419354</v>
      </c>
      <c r="K255" s="72">
        <f>28000+1400</f>
        <v>29400</v>
      </c>
      <c r="L255" s="72">
        <f t="shared" si="226"/>
        <v>17640</v>
      </c>
      <c r="M255" s="72">
        <f t="shared" si="227"/>
        <v>8820</v>
      </c>
      <c r="N255" s="72">
        <f t="shared" si="228"/>
        <v>1764</v>
      </c>
      <c r="O255" s="72">
        <f t="shared" si="229"/>
        <v>1176</v>
      </c>
      <c r="P255" s="259"/>
      <c r="Q255" s="260">
        <f t="shared" si="230"/>
        <v>29400</v>
      </c>
      <c r="R255" s="260">
        <f t="shared" si="231"/>
        <v>29400</v>
      </c>
      <c r="S255" s="261"/>
      <c r="T255" s="261"/>
      <c r="U255" s="809">
        <f>1400*2</f>
        <v>2800</v>
      </c>
      <c r="V255" s="263">
        <f t="shared" si="232"/>
        <v>32200</v>
      </c>
      <c r="W255" s="72"/>
      <c r="X255" s="261">
        <f>IFERROR(VLOOKUP(B255,'Lunch bill'!$B$6:$H$30,7,0),0)</f>
        <v>0</v>
      </c>
      <c r="Y255" s="261">
        <f t="shared" si="233"/>
        <v>882</v>
      </c>
      <c r="Z255" s="261">
        <f>IFERROR(VLOOKUP(B255,'55 Bike '!$B$7:$J$139,9,0),0)</f>
        <v>0</v>
      </c>
      <c r="AA255" s="261"/>
      <c r="AB255" s="73">
        <f t="shared" si="234"/>
        <v>882</v>
      </c>
      <c r="AC255" s="73">
        <f t="shared" si="235"/>
        <v>31318</v>
      </c>
      <c r="AD255" s="264" t="s">
        <v>23</v>
      </c>
      <c r="AE255" s="256" t="s">
        <v>944</v>
      </c>
      <c r="AF255" s="838"/>
      <c r="AG255" s="205"/>
      <c r="AH255" s="383"/>
      <c r="AI255" s="543"/>
      <c r="AJ255" s="548"/>
      <c r="AK255" s="548"/>
      <c r="AL255" s="198"/>
      <c r="AM255" s="320"/>
      <c r="AP255" s="198"/>
    </row>
    <row r="256" spans="1:43" s="61" customFormat="1" ht="24.95" customHeight="1">
      <c r="A256" s="253">
        <v>14</v>
      </c>
      <c r="B256" s="254" t="s">
        <v>1159</v>
      </c>
      <c r="C256" s="255" t="s">
        <v>1160</v>
      </c>
      <c r="D256" s="278" t="str">
        <f>VLOOKUP(B256,Attendance!$B$6:$D$385,3,0)</f>
        <v>Territory Sales Officer</v>
      </c>
      <c r="E256" s="278" t="s">
        <v>517</v>
      </c>
      <c r="F256" s="523">
        <v>45335</v>
      </c>
      <c r="G256" s="257">
        <f>VLOOKUP(B256,Attendance!$B$6:$G$386,6,0)</f>
        <v>31</v>
      </c>
      <c r="H256" s="258">
        <f>VLOOKUP(B$8:B$380,Attendance!$B$6:$L$386,11,0)</f>
        <v>0</v>
      </c>
      <c r="I256" s="257">
        <f t="shared" si="224"/>
        <v>31</v>
      </c>
      <c r="J256" s="258">
        <f t="shared" si="225"/>
        <v>806.45161290322585</v>
      </c>
      <c r="K256" s="72">
        <v>25000</v>
      </c>
      <c r="L256" s="72">
        <f t="shared" si="226"/>
        <v>15000</v>
      </c>
      <c r="M256" s="72">
        <f t="shared" si="227"/>
        <v>7500</v>
      </c>
      <c r="N256" s="72">
        <f t="shared" si="228"/>
        <v>1500</v>
      </c>
      <c r="O256" s="72">
        <f t="shared" si="229"/>
        <v>1000</v>
      </c>
      <c r="P256" s="259"/>
      <c r="Q256" s="260">
        <f t="shared" si="230"/>
        <v>25000</v>
      </c>
      <c r="R256" s="260">
        <f t="shared" si="231"/>
        <v>25000</v>
      </c>
      <c r="S256" s="261"/>
      <c r="T256" s="261"/>
      <c r="U256" s="809"/>
      <c r="V256" s="263">
        <f t="shared" si="232"/>
        <v>25000</v>
      </c>
      <c r="W256" s="72"/>
      <c r="X256" s="261">
        <f>IFERROR(VLOOKUP(B256,'Lunch bill'!$B$6:$H$30,7,0),0)</f>
        <v>0</v>
      </c>
      <c r="Y256" s="261">
        <f t="shared" si="233"/>
        <v>0</v>
      </c>
      <c r="Z256" s="261">
        <f>IFERROR(VLOOKUP(B256,'55 Bike '!$B$7:$J$139,9,0),0)</f>
        <v>0</v>
      </c>
      <c r="AA256" s="261"/>
      <c r="AB256" s="73">
        <f t="shared" si="234"/>
        <v>0</v>
      </c>
      <c r="AC256" s="73">
        <f t="shared" si="235"/>
        <v>25000</v>
      </c>
      <c r="AD256" s="264" t="s">
        <v>23</v>
      </c>
      <c r="AE256" s="256" t="s">
        <v>1254</v>
      </c>
      <c r="AF256" s="838"/>
      <c r="AG256" s="205"/>
      <c r="AH256" s="383"/>
      <c r="AI256" s="543"/>
      <c r="AJ256" s="548"/>
      <c r="AK256" s="548"/>
      <c r="AL256" s="198"/>
      <c r="AM256" s="320"/>
      <c r="AP256" s="198"/>
    </row>
    <row r="257" spans="1:42" s="61" customFormat="1" ht="24.95" customHeight="1">
      <c r="A257" s="253">
        <v>15</v>
      </c>
      <c r="B257" s="254" t="s">
        <v>1161</v>
      </c>
      <c r="C257" s="255" t="s">
        <v>1162</v>
      </c>
      <c r="D257" s="278" t="str">
        <f>VLOOKUP(B257,Attendance!$B$6:$D$385,3,0)</f>
        <v>Farm Supervisor</v>
      </c>
      <c r="E257" s="278" t="s">
        <v>517</v>
      </c>
      <c r="F257" s="523">
        <v>45323</v>
      </c>
      <c r="G257" s="257">
        <f>VLOOKUP(B257,Attendance!$B$6:$G$386,6,0)</f>
        <v>31</v>
      </c>
      <c r="H257" s="258">
        <f>VLOOKUP(B$8:B$380,Attendance!$B$6:$L$386,11,0)</f>
        <v>0</v>
      </c>
      <c r="I257" s="257">
        <f t="shared" si="224"/>
        <v>31</v>
      </c>
      <c r="J257" s="258">
        <f t="shared" si="225"/>
        <v>838.70967741935488</v>
      </c>
      <c r="K257" s="72">
        <v>26000</v>
      </c>
      <c r="L257" s="72">
        <f t="shared" si="226"/>
        <v>15600</v>
      </c>
      <c r="M257" s="72">
        <f t="shared" si="227"/>
        <v>7800</v>
      </c>
      <c r="N257" s="72">
        <f t="shared" si="228"/>
        <v>1560</v>
      </c>
      <c r="O257" s="72">
        <f t="shared" si="229"/>
        <v>1040</v>
      </c>
      <c r="P257" s="259"/>
      <c r="Q257" s="260">
        <f t="shared" si="230"/>
        <v>26000</v>
      </c>
      <c r="R257" s="260">
        <f t="shared" si="231"/>
        <v>26000</v>
      </c>
      <c r="S257" s="261"/>
      <c r="T257" s="261"/>
      <c r="U257" s="809"/>
      <c r="V257" s="263">
        <f t="shared" si="232"/>
        <v>26000</v>
      </c>
      <c r="W257" s="72"/>
      <c r="X257" s="261">
        <f>IFERROR(VLOOKUP(B257,'Lunch bill'!$B$6:$H$30,7,0),0)</f>
        <v>0</v>
      </c>
      <c r="Y257" s="261">
        <f t="shared" si="233"/>
        <v>0</v>
      </c>
      <c r="Z257" s="261">
        <f>IFERROR(VLOOKUP(B257,'55 Bike '!$B$7:$J$139,9,0),0)</f>
        <v>0</v>
      </c>
      <c r="AA257" s="261"/>
      <c r="AB257" s="73">
        <f t="shared" si="234"/>
        <v>0</v>
      </c>
      <c r="AC257" s="73">
        <f t="shared" si="235"/>
        <v>26000</v>
      </c>
      <c r="AD257" s="264" t="s">
        <v>23</v>
      </c>
      <c r="AE257" s="256" t="s">
        <v>1177</v>
      </c>
      <c r="AF257" s="838"/>
      <c r="AG257" s="205"/>
      <c r="AH257" s="383"/>
      <c r="AI257" s="543"/>
      <c r="AJ257" s="548"/>
      <c r="AK257" s="548"/>
      <c r="AL257" s="198"/>
      <c r="AM257" s="320"/>
      <c r="AP257" s="198"/>
    </row>
    <row r="258" spans="1:42" s="61" customFormat="1" ht="24.95" customHeight="1">
      <c r="A258" s="253">
        <v>16</v>
      </c>
      <c r="B258" s="254" t="s">
        <v>1281</v>
      </c>
      <c r="C258" s="255" t="s">
        <v>1282</v>
      </c>
      <c r="D258" s="278" t="str">
        <f>VLOOKUP(B258,Attendance!$B$6:$D$385,3,0)</f>
        <v>Night Gurd</v>
      </c>
      <c r="E258" s="278" t="s">
        <v>517</v>
      </c>
      <c r="F258" s="523">
        <v>44917</v>
      </c>
      <c r="G258" s="257">
        <f>VLOOKUP(B258,Attendance!$B$6:$G$386,6,0)</f>
        <v>31</v>
      </c>
      <c r="H258" s="258">
        <f>VLOOKUP(B$8:B$380,Attendance!$B$6:$L$386,11,0)</f>
        <v>0</v>
      </c>
      <c r="I258" s="257">
        <f t="shared" si="224"/>
        <v>31</v>
      </c>
      <c r="J258" s="258">
        <f t="shared" si="225"/>
        <v>290.32258064516128</v>
      </c>
      <c r="K258" s="72">
        <v>9000</v>
      </c>
      <c r="L258" s="72">
        <f t="shared" si="226"/>
        <v>5400</v>
      </c>
      <c r="M258" s="72">
        <f t="shared" si="227"/>
        <v>2700</v>
      </c>
      <c r="N258" s="72">
        <f t="shared" si="228"/>
        <v>540</v>
      </c>
      <c r="O258" s="72">
        <f t="shared" si="229"/>
        <v>360</v>
      </c>
      <c r="P258" s="259"/>
      <c r="Q258" s="260">
        <f t="shared" si="230"/>
        <v>9000</v>
      </c>
      <c r="R258" s="260">
        <f t="shared" si="231"/>
        <v>9000</v>
      </c>
      <c r="S258" s="261"/>
      <c r="T258" s="261"/>
      <c r="U258" s="809"/>
      <c r="V258" s="263">
        <f t="shared" si="232"/>
        <v>9000</v>
      </c>
      <c r="W258" s="72"/>
      <c r="X258" s="261">
        <f>IFERROR(VLOOKUP(B258,'Lunch bill'!$B$6:$H$30,7,0),0)</f>
        <v>0</v>
      </c>
      <c r="Y258" s="261">
        <f t="shared" si="233"/>
        <v>270</v>
      </c>
      <c r="Z258" s="261">
        <f>IFERROR(VLOOKUP(B258,'55 Bike '!$B$7:$J$139,9,0),0)</f>
        <v>0</v>
      </c>
      <c r="AA258" s="261"/>
      <c r="AB258" s="73">
        <f t="shared" si="234"/>
        <v>270</v>
      </c>
      <c r="AC258" s="73">
        <f t="shared" si="235"/>
        <v>8730</v>
      </c>
      <c r="AD258" s="264" t="s">
        <v>23</v>
      </c>
      <c r="AE258" s="256" t="s">
        <v>1343</v>
      </c>
      <c r="AF258" s="838"/>
      <c r="AG258" s="205"/>
      <c r="AH258" s="383"/>
      <c r="AI258" s="543"/>
      <c r="AJ258" s="548"/>
      <c r="AK258" s="548"/>
      <c r="AL258" s="198"/>
      <c r="AM258" s="320"/>
      <c r="AP258" s="198"/>
    </row>
    <row r="259" spans="1:42" s="61" customFormat="1" ht="24.95" customHeight="1">
      <c r="A259" s="253">
        <v>17</v>
      </c>
      <c r="B259" s="254" t="s">
        <v>1283</v>
      </c>
      <c r="C259" s="255" t="s">
        <v>1284</v>
      </c>
      <c r="D259" s="278" t="str">
        <f>VLOOKUP(B259,Attendance!$B$6:$D$385,3,0)</f>
        <v>Sr. Territory Sales Officer</v>
      </c>
      <c r="E259" s="278" t="s">
        <v>517</v>
      </c>
      <c r="F259" s="523">
        <v>45397</v>
      </c>
      <c r="G259" s="257">
        <f>VLOOKUP(B259,Attendance!$B$6:$G$386,6,0)</f>
        <v>31</v>
      </c>
      <c r="H259" s="258">
        <f>VLOOKUP(B$8:B$380,Attendance!$B$6:$L$386,11,0)</f>
        <v>0</v>
      </c>
      <c r="I259" s="257">
        <f t="shared" si="224"/>
        <v>31</v>
      </c>
      <c r="J259" s="258">
        <f t="shared" si="225"/>
        <v>903.22580645161293</v>
      </c>
      <c r="K259" s="72">
        <v>28000</v>
      </c>
      <c r="L259" s="72">
        <f t="shared" si="226"/>
        <v>16800</v>
      </c>
      <c r="M259" s="72">
        <f t="shared" si="227"/>
        <v>8400</v>
      </c>
      <c r="N259" s="72">
        <f t="shared" si="228"/>
        <v>1680</v>
      </c>
      <c r="O259" s="72">
        <f t="shared" si="229"/>
        <v>1120</v>
      </c>
      <c r="P259" s="259"/>
      <c r="Q259" s="260">
        <f t="shared" si="230"/>
        <v>28000</v>
      </c>
      <c r="R259" s="260">
        <f t="shared" si="231"/>
        <v>28000</v>
      </c>
      <c r="S259" s="261"/>
      <c r="T259" s="261"/>
      <c r="U259" s="809"/>
      <c r="V259" s="263">
        <f t="shared" si="232"/>
        <v>28000</v>
      </c>
      <c r="W259" s="72"/>
      <c r="X259" s="261">
        <f>IFERROR(VLOOKUP(B259,'Lunch bill'!$B$6:$H$30,7,0),0)</f>
        <v>0</v>
      </c>
      <c r="Y259" s="261">
        <f t="shared" si="233"/>
        <v>0</v>
      </c>
      <c r="Z259" s="261">
        <f>IFERROR(VLOOKUP(B259,'55 Bike '!$B$7:$J$139,9,0),0)</f>
        <v>0</v>
      </c>
      <c r="AA259" s="261"/>
      <c r="AB259" s="73">
        <f t="shared" si="234"/>
        <v>0</v>
      </c>
      <c r="AC259" s="73">
        <f t="shared" si="235"/>
        <v>28000</v>
      </c>
      <c r="AD259" s="264" t="s">
        <v>23</v>
      </c>
      <c r="AE259" s="256" t="s">
        <v>1344</v>
      </c>
      <c r="AF259" s="838"/>
      <c r="AG259" s="205"/>
      <c r="AH259" s="383"/>
      <c r="AI259" s="543"/>
      <c r="AJ259" s="548"/>
      <c r="AK259" s="548"/>
      <c r="AL259" s="198"/>
      <c r="AM259" s="320"/>
      <c r="AP259" s="198"/>
    </row>
    <row r="260" spans="1:42" s="61" customFormat="1" ht="24.95" customHeight="1">
      <c r="A260" s="253">
        <v>18</v>
      </c>
      <c r="B260" s="254" t="s">
        <v>1313</v>
      </c>
      <c r="C260" s="255" t="s">
        <v>1314</v>
      </c>
      <c r="D260" s="278" t="str">
        <f>VLOOKUP(B260,Attendance!$B$6:$D$385,3,0)</f>
        <v>Sr. Territory Sales Officer</v>
      </c>
      <c r="E260" s="278" t="s">
        <v>517</v>
      </c>
      <c r="F260" s="523">
        <v>45398</v>
      </c>
      <c r="G260" s="257">
        <f>VLOOKUP(B260,Attendance!$B$6:$G$386,6,0)</f>
        <v>31</v>
      </c>
      <c r="H260" s="258">
        <f>VLOOKUP(B$8:B$380,Attendance!$B$6:$L$386,11,0)</f>
        <v>0</v>
      </c>
      <c r="I260" s="257">
        <f t="shared" si="224"/>
        <v>31</v>
      </c>
      <c r="J260" s="258">
        <f t="shared" si="225"/>
        <v>935.48387096774195</v>
      </c>
      <c r="K260" s="72">
        <v>29000</v>
      </c>
      <c r="L260" s="72">
        <f t="shared" si="226"/>
        <v>17400</v>
      </c>
      <c r="M260" s="72">
        <f t="shared" si="227"/>
        <v>8700</v>
      </c>
      <c r="N260" s="72">
        <f t="shared" si="228"/>
        <v>1740</v>
      </c>
      <c r="O260" s="72">
        <f t="shared" si="229"/>
        <v>1160</v>
      </c>
      <c r="P260" s="259"/>
      <c r="Q260" s="260">
        <f t="shared" si="230"/>
        <v>29000</v>
      </c>
      <c r="R260" s="260">
        <f t="shared" si="231"/>
        <v>29000</v>
      </c>
      <c r="S260" s="261"/>
      <c r="T260" s="261"/>
      <c r="U260" s="809"/>
      <c r="V260" s="263">
        <f t="shared" si="232"/>
        <v>29000</v>
      </c>
      <c r="W260" s="72"/>
      <c r="X260" s="261">
        <f>IFERROR(VLOOKUP(B260,'Lunch bill'!$B$6:$H$30,7,0),0)</f>
        <v>0</v>
      </c>
      <c r="Y260" s="261">
        <f t="shared" si="233"/>
        <v>0</v>
      </c>
      <c r="Z260" s="261">
        <f>IFERROR(VLOOKUP(B260,'55 Bike '!$B$7:$J$139,9,0),0)</f>
        <v>2160</v>
      </c>
      <c r="AA260" s="261"/>
      <c r="AB260" s="73">
        <f t="shared" si="234"/>
        <v>2160</v>
      </c>
      <c r="AC260" s="73">
        <f t="shared" si="235"/>
        <v>26840</v>
      </c>
      <c r="AD260" s="264" t="s">
        <v>23</v>
      </c>
      <c r="AE260" s="256" t="s">
        <v>1345</v>
      </c>
      <c r="AF260" s="838"/>
      <c r="AG260" s="205"/>
      <c r="AH260" s="383"/>
      <c r="AI260" s="543"/>
      <c r="AJ260" s="548"/>
      <c r="AK260" s="548"/>
      <c r="AL260" s="198"/>
      <c r="AM260" s="320"/>
      <c r="AP260" s="198"/>
    </row>
    <row r="261" spans="1:42" s="61" customFormat="1" ht="24.95" customHeight="1">
      <c r="A261" s="253">
        <v>19</v>
      </c>
      <c r="B261" s="254" t="s">
        <v>1369</v>
      </c>
      <c r="C261" s="255" t="s">
        <v>1370</v>
      </c>
      <c r="D261" s="278" t="s">
        <v>928</v>
      </c>
      <c r="E261" s="278" t="s">
        <v>517</v>
      </c>
      <c r="F261" s="523">
        <v>45416</v>
      </c>
      <c r="G261" s="257">
        <f>VLOOKUP(B261,Attendance!$B$6:$G$386,6,0)</f>
        <v>31</v>
      </c>
      <c r="H261" s="258">
        <f>VLOOKUP(B$8:B$380,Attendance!$B$6:$L$386,11,0)</f>
        <v>0</v>
      </c>
      <c r="I261" s="257">
        <f t="shared" si="224"/>
        <v>31</v>
      </c>
      <c r="J261" s="258">
        <f t="shared" si="225"/>
        <v>903.22580645161293</v>
      </c>
      <c r="K261" s="72">
        <v>28000</v>
      </c>
      <c r="L261" s="72">
        <f t="shared" si="226"/>
        <v>16800</v>
      </c>
      <c r="M261" s="72">
        <f t="shared" si="227"/>
        <v>8400</v>
      </c>
      <c r="N261" s="72">
        <f t="shared" si="228"/>
        <v>1680</v>
      </c>
      <c r="O261" s="72">
        <f t="shared" si="229"/>
        <v>1120</v>
      </c>
      <c r="P261" s="259"/>
      <c r="Q261" s="260">
        <f t="shared" si="230"/>
        <v>28000</v>
      </c>
      <c r="R261" s="260">
        <f t="shared" si="231"/>
        <v>28000</v>
      </c>
      <c r="S261" s="261"/>
      <c r="T261" s="261"/>
      <c r="U261" s="809"/>
      <c r="V261" s="263">
        <f t="shared" si="232"/>
        <v>28000</v>
      </c>
      <c r="W261" s="72"/>
      <c r="X261" s="261">
        <f>IFERROR(VLOOKUP(B261,'Lunch bill'!$B$6:$H$30,7,0),0)</f>
        <v>0</v>
      </c>
      <c r="Y261" s="261">
        <f t="shared" si="233"/>
        <v>0</v>
      </c>
      <c r="Z261" s="261">
        <f>IFERROR(VLOOKUP(B261,'55 Bike '!$B$7:$J$139,9,0),0)</f>
        <v>2175</v>
      </c>
      <c r="AA261" s="261"/>
      <c r="AB261" s="73">
        <f t="shared" si="234"/>
        <v>2175</v>
      </c>
      <c r="AC261" s="73">
        <f t="shared" si="235"/>
        <v>25825</v>
      </c>
      <c r="AD261" s="264" t="s">
        <v>23</v>
      </c>
      <c r="AE261" s="256" t="s">
        <v>1388</v>
      </c>
      <c r="AF261" s="838"/>
      <c r="AG261" s="205"/>
      <c r="AH261" s="383"/>
      <c r="AI261" s="543"/>
      <c r="AJ261" s="548"/>
      <c r="AK261" s="548"/>
      <c r="AL261" s="198"/>
      <c r="AM261" s="320"/>
      <c r="AP261" s="198"/>
    </row>
    <row r="262" spans="1:42" s="61" customFormat="1" ht="24.95" customHeight="1">
      <c r="A262" s="253">
        <v>20</v>
      </c>
      <c r="B262" s="254" t="s">
        <v>1380</v>
      </c>
      <c r="C262" s="255" t="s">
        <v>1381</v>
      </c>
      <c r="D262" s="278" t="s">
        <v>432</v>
      </c>
      <c r="E262" s="278" t="s">
        <v>517</v>
      </c>
      <c r="F262" s="523">
        <v>45444</v>
      </c>
      <c r="G262" s="257">
        <f>VLOOKUP(B262,Attendance!$B$6:$G$386,6,0)</f>
        <v>31</v>
      </c>
      <c r="H262" s="258">
        <f>VLOOKUP(B$8:B$380,Attendance!$B$6:$L$386,11,0)</f>
        <v>0</v>
      </c>
      <c r="I262" s="257">
        <f t="shared" si="224"/>
        <v>31</v>
      </c>
      <c r="J262" s="258">
        <f t="shared" si="225"/>
        <v>3387.0967741935483</v>
      </c>
      <c r="K262" s="72">
        <v>105000</v>
      </c>
      <c r="L262" s="72">
        <f t="shared" si="226"/>
        <v>63000</v>
      </c>
      <c r="M262" s="72">
        <f t="shared" si="227"/>
        <v>31500</v>
      </c>
      <c r="N262" s="72">
        <f t="shared" si="228"/>
        <v>6300</v>
      </c>
      <c r="O262" s="72">
        <f t="shared" si="229"/>
        <v>4200</v>
      </c>
      <c r="P262" s="259"/>
      <c r="Q262" s="260">
        <f t="shared" si="230"/>
        <v>105000</v>
      </c>
      <c r="R262" s="260">
        <f t="shared" si="231"/>
        <v>105000</v>
      </c>
      <c r="S262" s="261"/>
      <c r="T262" s="261"/>
      <c r="U262" s="809"/>
      <c r="V262" s="263">
        <f t="shared" si="232"/>
        <v>105000</v>
      </c>
      <c r="W262" s="72">
        <v>2485</v>
      </c>
      <c r="X262" s="261">
        <f>IFERROR(VLOOKUP(B262,'Lunch bill'!$B$6:$H$30,7,0),0)</f>
        <v>0</v>
      </c>
      <c r="Y262" s="261">
        <f t="shared" si="233"/>
        <v>0</v>
      </c>
      <c r="Z262" s="261">
        <f>IFERROR(VLOOKUP(B262,'55 Bike '!$B$7:$J$139,9,0),0)</f>
        <v>0</v>
      </c>
      <c r="AA262" s="261"/>
      <c r="AB262" s="73">
        <f t="shared" si="234"/>
        <v>2485</v>
      </c>
      <c r="AC262" s="73">
        <f t="shared" si="235"/>
        <v>102515</v>
      </c>
      <c r="AD262" s="264" t="s">
        <v>23</v>
      </c>
      <c r="AE262" s="256" t="s">
        <v>1385</v>
      </c>
      <c r="AF262" s="838"/>
      <c r="AG262" s="205"/>
      <c r="AH262" s="383"/>
      <c r="AI262" s="543"/>
      <c r="AJ262" s="548"/>
      <c r="AK262" s="548"/>
      <c r="AL262" s="198"/>
      <c r="AM262" s="320"/>
      <c r="AP262" s="198"/>
    </row>
    <row r="263" spans="1:42" s="61" customFormat="1" ht="24.95" customHeight="1">
      <c r="A263" s="253">
        <v>21</v>
      </c>
      <c r="B263" s="254" t="s">
        <v>1382</v>
      </c>
      <c r="C263" s="255" t="s">
        <v>1383</v>
      </c>
      <c r="D263" s="278" t="s">
        <v>423</v>
      </c>
      <c r="E263" s="278" t="s">
        <v>517</v>
      </c>
      <c r="F263" s="523">
        <v>45446</v>
      </c>
      <c r="G263" s="257">
        <f>VLOOKUP(B263,Attendance!$B$6:$G$386,6,0)</f>
        <v>31</v>
      </c>
      <c r="H263" s="258">
        <f>VLOOKUP(B$8:B$380,Attendance!$B$6:$L$386,11,0)</f>
        <v>0</v>
      </c>
      <c r="I263" s="257">
        <f t="shared" si="224"/>
        <v>31</v>
      </c>
      <c r="J263" s="258">
        <f t="shared" si="225"/>
        <v>3225.8064516129034</v>
      </c>
      <c r="K263" s="72">
        <v>100000</v>
      </c>
      <c r="L263" s="72">
        <f t="shared" si="226"/>
        <v>60000</v>
      </c>
      <c r="M263" s="72">
        <f t="shared" si="227"/>
        <v>30000</v>
      </c>
      <c r="N263" s="72">
        <f t="shared" si="228"/>
        <v>6000</v>
      </c>
      <c r="O263" s="72">
        <f t="shared" si="229"/>
        <v>4000</v>
      </c>
      <c r="P263" s="259"/>
      <c r="Q263" s="260">
        <f t="shared" si="230"/>
        <v>100000</v>
      </c>
      <c r="R263" s="260">
        <f t="shared" si="231"/>
        <v>100000</v>
      </c>
      <c r="S263" s="261"/>
      <c r="T263" s="261"/>
      <c r="U263" s="809"/>
      <c r="V263" s="263">
        <f t="shared" si="232"/>
        <v>100000</v>
      </c>
      <c r="W263" s="72">
        <v>1925</v>
      </c>
      <c r="X263" s="261">
        <f>IFERROR(VLOOKUP(B263,'Lunch bill'!$B$6:$H$30,7,0),0)</f>
        <v>0</v>
      </c>
      <c r="Y263" s="261">
        <f t="shared" si="233"/>
        <v>0</v>
      </c>
      <c r="Z263" s="261">
        <f>IFERROR(VLOOKUP(B263,'55 Bike '!$B$7:$J$139,9,0),0)</f>
        <v>0</v>
      </c>
      <c r="AA263" s="261"/>
      <c r="AB263" s="73">
        <f t="shared" si="234"/>
        <v>1925</v>
      </c>
      <c r="AC263" s="73">
        <f t="shared" si="235"/>
        <v>98075</v>
      </c>
      <c r="AD263" s="264" t="s">
        <v>23</v>
      </c>
      <c r="AE263" s="256" t="s">
        <v>1386</v>
      </c>
      <c r="AF263" s="838"/>
      <c r="AG263" s="205"/>
      <c r="AH263" s="383"/>
      <c r="AI263" s="543"/>
      <c r="AJ263" s="548"/>
      <c r="AK263" s="548"/>
      <c r="AL263" s="198"/>
      <c r="AM263" s="320"/>
      <c r="AP263" s="198"/>
    </row>
    <row r="264" spans="1:42" s="61" customFormat="1" ht="24.95" customHeight="1">
      <c r="A264" s="253">
        <v>22</v>
      </c>
      <c r="B264" s="254" t="s">
        <v>1614</v>
      </c>
      <c r="C264" s="255" t="s">
        <v>1615</v>
      </c>
      <c r="D264" s="278" t="s">
        <v>542</v>
      </c>
      <c r="E264" s="278" t="s">
        <v>517</v>
      </c>
      <c r="F264" s="523">
        <v>45514</v>
      </c>
      <c r="G264" s="257">
        <f>VLOOKUP(B264,Attendance!$B$6:$G$386,6,0)</f>
        <v>31</v>
      </c>
      <c r="H264" s="258">
        <f>VLOOKUP(B$8:B$380,Attendance!$B$6:$L$386,11,0)</f>
        <v>0</v>
      </c>
      <c r="I264" s="257">
        <f t="shared" ref="I264" si="236">G264-H264</f>
        <v>31</v>
      </c>
      <c r="J264" s="258">
        <f t="shared" si="225"/>
        <v>741.93548387096769</v>
      </c>
      <c r="K264" s="72">
        <v>23000</v>
      </c>
      <c r="L264" s="72">
        <f t="shared" ref="L264" si="237">K264*60%</f>
        <v>13800</v>
      </c>
      <c r="M264" s="72">
        <f t="shared" ref="M264" si="238">K264*30%</f>
        <v>6900</v>
      </c>
      <c r="N264" s="72">
        <f t="shared" ref="N264" si="239">K264*6%</f>
        <v>1380</v>
      </c>
      <c r="O264" s="72">
        <f t="shared" ref="O264" si="240">K264*4%</f>
        <v>920</v>
      </c>
      <c r="P264" s="259"/>
      <c r="Q264" s="260">
        <f t="shared" ref="Q264" si="241">SUM(L264:P264)</f>
        <v>23000</v>
      </c>
      <c r="R264" s="260">
        <f t="shared" ref="R264" si="242">ROUND(I264*J264,)</f>
        <v>23000</v>
      </c>
      <c r="S264" s="261"/>
      <c r="T264" s="261"/>
      <c r="U264" s="809"/>
      <c r="V264" s="263">
        <f t="shared" ref="V264" si="243">SUM(R264:U264)</f>
        <v>23000</v>
      </c>
      <c r="W264" s="72">
        <v>0</v>
      </c>
      <c r="X264" s="261">
        <f>IFERROR(VLOOKUP(B264,'Lunch bill'!$B$6:$H$30,7,0),0)</f>
        <v>0</v>
      </c>
      <c r="Y264" s="261">
        <f t="shared" ref="Y264:Y281" si="244">ROUND(IF($AH$4-F264&gt;=360,L264*5%,0),0)</f>
        <v>0</v>
      </c>
      <c r="Z264" s="261">
        <f>IFERROR(VLOOKUP(B264,'55 Bike '!$B$7:$J$139,9,0),0)</f>
        <v>2160</v>
      </c>
      <c r="AA264" s="261"/>
      <c r="AB264" s="73">
        <f t="shared" ref="AB264" si="245">SUM(W264:AA264)</f>
        <v>2160</v>
      </c>
      <c r="AC264" s="73">
        <f t="shared" ref="AC264" si="246">ROUND(V264-AB264,0)</f>
        <v>20840</v>
      </c>
      <c r="AD264" s="264" t="s">
        <v>23</v>
      </c>
      <c r="AE264" s="256" t="s">
        <v>1619</v>
      </c>
      <c r="AF264" s="838"/>
      <c r="AG264" s="205"/>
      <c r="AH264" s="383"/>
      <c r="AI264" s="543"/>
      <c r="AJ264" s="548"/>
      <c r="AK264" s="548"/>
      <c r="AL264" s="198"/>
      <c r="AM264" s="320"/>
      <c r="AP264" s="198"/>
    </row>
    <row r="265" spans="1:42" s="61" customFormat="1" ht="24.95" customHeight="1">
      <c r="A265" s="253">
        <v>23</v>
      </c>
      <c r="B265" s="254" t="s">
        <v>1625</v>
      </c>
      <c r="C265" s="255" t="s">
        <v>1360</v>
      </c>
      <c r="D265" s="278" t="s">
        <v>604</v>
      </c>
      <c r="E265" s="278" t="s">
        <v>517</v>
      </c>
      <c r="F265" s="523">
        <v>45468</v>
      </c>
      <c r="G265" s="257">
        <f>VLOOKUP(B265,Attendance!$B$6:$G$386,6,0)</f>
        <v>31</v>
      </c>
      <c r="H265" s="258">
        <f>VLOOKUP(B$8:B$380,Attendance!$B$6:$L$386,11,0)</f>
        <v>0</v>
      </c>
      <c r="I265" s="257">
        <f t="shared" ref="I265" si="247">G265-H265</f>
        <v>31</v>
      </c>
      <c r="J265" s="258">
        <f t="shared" ref="J265:J277" si="248">Q265/G265</f>
        <v>1451.6129032258063</v>
      </c>
      <c r="K265" s="72">
        <v>45000</v>
      </c>
      <c r="L265" s="72">
        <f t="shared" ref="L265" si="249">K265*60%</f>
        <v>27000</v>
      </c>
      <c r="M265" s="72">
        <f t="shared" ref="M265" si="250">K265*30%</f>
        <v>13500</v>
      </c>
      <c r="N265" s="72">
        <f t="shared" ref="N265" si="251">K265*6%</f>
        <v>2700</v>
      </c>
      <c r="O265" s="72">
        <f t="shared" ref="O265" si="252">K265*4%</f>
        <v>1800</v>
      </c>
      <c r="P265" s="259"/>
      <c r="Q265" s="260">
        <f t="shared" ref="Q265" si="253">SUM(L265:P265)</f>
        <v>45000</v>
      </c>
      <c r="R265" s="260">
        <f t="shared" ref="R265" si="254">ROUND(I265*J265,)</f>
        <v>45000</v>
      </c>
      <c r="S265" s="261"/>
      <c r="T265" s="261"/>
      <c r="U265" s="809"/>
      <c r="V265" s="263">
        <f t="shared" ref="V265" si="255">SUM(R265:U265)</f>
        <v>45000</v>
      </c>
      <c r="W265" s="72">
        <v>500</v>
      </c>
      <c r="X265" s="261"/>
      <c r="Y265" s="261">
        <f t="shared" si="244"/>
        <v>0</v>
      </c>
      <c r="Z265" s="261">
        <f>IFERROR(VLOOKUP(B265,'55 Bike '!$B$7:$J$139,9,0),0)</f>
        <v>0</v>
      </c>
      <c r="AA265" s="261"/>
      <c r="AB265" s="73">
        <f t="shared" ref="AB265" si="256">SUM(W265:AA265)</f>
        <v>500</v>
      </c>
      <c r="AC265" s="73">
        <f t="shared" ref="AC265" si="257">ROUND(V265-AB265,0)</f>
        <v>44500</v>
      </c>
      <c r="AD265" s="264" t="s">
        <v>23</v>
      </c>
      <c r="AE265" s="256" t="s">
        <v>1874</v>
      </c>
      <c r="AF265" s="838"/>
      <c r="AG265" s="205"/>
      <c r="AH265" s="383"/>
      <c r="AI265" s="543"/>
      <c r="AJ265" s="548"/>
      <c r="AK265" s="548"/>
      <c r="AL265" s="198"/>
      <c r="AM265" s="320"/>
      <c r="AP265" s="198"/>
    </row>
    <row r="266" spans="1:42" s="61" customFormat="1" ht="24.95" customHeight="1">
      <c r="A266" s="253">
        <v>24</v>
      </c>
      <c r="B266" s="254" t="s">
        <v>1626</v>
      </c>
      <c r="C266" s="255" t="s">
        <v>1627</v>
      </c>
      <c r="D266" s="278" t="s">
        <v>542</v>
      </c>
      <c r="E266" s="278" t="s">
        <v>517</v>
      </c>
      <c r="F266" s="523">
        <v>45536</v>
      </c>
      <c r="G266" s="257">
        <f>VLOOKUP(B266,Attendance!$B$6:$G$386,6,0)</f>
        <v>31</v>
      </c>
      <c r="H266" s="258">
        <f>VLOOKUP(B$8:B$380,Attendance!$B$6:$L$386,11,0)</f>
        <v>0</v>
      </c>
      <c r="I266" s="257">
        <f t="shared" ref="I266:I267" si="258">G266-H266</f>
        <v>31</v>
      </c>
      <c r="J266" s="258">
        <f t="shared" si="248"/>
        <v>774.19354838709683</v>
      </c>
      <c r="K266" s="72">
        <v>24000</v>
      </c>
      <c r="L266" s="72">
        <f t="shared" ref="L266:L267" si="259">K266*60%</f>
        <v>14400</v>
      </c>
      <c r="M266" s="72">
        <f t="shared" ref="M266:M267" si="260">K266*30%</f>
        <v>7200</v>
      </c>
      <c r="N266" s="72">
        <f t="shared" ref="N266:N267" si="261">K266*6%</f>
        <v>1440</v>
      </c>
      <c r="O266" s="72">
        <f t="shared" ref="O266:O267" si="262">K266*4%</f>
        <v>960</v>
      </c>
      <c r="P266" s="259"/>
      <c r="Q266" s="260">
        <f t="shared" ref="Q266:Q267" si="263">SUM(L266:P266)</f>
        <v>24000</v>
      </c>
      <c r="R266" s="260">
        <f t="shared" ref="R266:R267" si="264">ROUND(I266*J266,)</f>
        <v>24000</v>
      </c>
      <c r="S266" s="261"/>
      <c r="T266" s="261"/>
      <c r="U266" s="809"/>
      <c r="V266" s="263">
        <f t="shared" ref="V266:V267" si="265">SUM(R266:U266)</f>
        <v>24000</v>
      </c>
      <c r="W266" s="72"/>
      <c r="X266" s="261"/>
      <c r="Y266" s="261">
        <f t="shared" si="244"/>
        <v>0</v>
      </c>
      <c r="Z266" s="261">
        <f>IFERROR(VLOOKUP(B266,'55 Bike '!$B$7:$J$139,9,0),0)</f>
        <v>0</v>
      </c>
      <c r="AA266" s="261"/>
      <c r="AB266" s="73">
        <f t="shared" ref="AB266:AB267" si="266">SUM(W266:AA266)</f>
        <v>0</v>
      </c>
      <c r="AC266" s="73">
        <f t="shared" ref="AC266:AC267" si="267">ROUND(V266-AB266,0)</f>
        <v>24000</v>
      </c>
      <c r="AD266" s="264" t="s">
        <v>23</v>
      </c>
      <c r="AE266" s="256" t="s">
        <v>1634</v>
      </c>
      <c r="AF266" s="838"/>
      <c r="AG266" s="205"/>
      <c r="AH266" s="383"/>
      <c r="AI266" s="543"/>
      <c r="AJ266" s="548"/>
      <c r="AK266" s="548"/>
      <c r="AL266" s="198"/>
      <c r="AM266" s="320"/>
      <c r="AP266" s="198"/>
    </row>
    <row r="267" spans="1:42" s="61" customFormat="1" ht="24.95" customHeight="1">
      <c r="A267" s="253">
        <v>25</v>
      </c>
      <c r="B267" s="254" t="s">
        <v>1628</v>
      </c>
      <c r="C267" s="255" t="s">
        <v>1629</v>
      </c>
      <c r="D267" s="278" t="s">
        <v>452</v>
      </c>
      <c r="E267" s="278" t="s">
        <v>517</v>
      </c>
      <c r="F267" s="523">
        <v>45536</v>
      </c>
      <c r="G267" s="257">
        <f>VLOOKUP(B267,Attendance!$B$6:$G$386,6,0)</f>
        <v>31</v>
      </c>
      <c r="H267" s="258">
        <f>VLOOKUP(B$8:B$380,Attendance!$B$6:$L$386,11,0)</f>
        <v>25</v>
      </c>
      <c r="I267" s="257">
        <f t="shared" si="258"/>
        <v>6</v>
      </c>
      <c r="J267" s="258">
        <f t="shared" si="248"/>
        <v>1129.0322580645161</v>
      </c>
      <c r="K267" s="72">
        <v>35000</v>
      </c>
      <c r="L267" s="72">
        <f t="shared" si="259"/>
        <v>21000</v>
      </c>
      <c r="M267" s="72">
        <f t="shared" si="260"/>
        <v>10500</v>
      </c>
      <c r="N267" s="72">
        <f t="shared" si="261"/>
        <v>2100</v>
      </c>
      <c r="O267" s="72">
        <f t="shared" si="262"/>
        <v>1400</v>
      </c>
      <c r="P267" s="259"/>
      <c r="Q267" s="260">
        <f t="shared" si="263"/>
        <v>35000</v>
      </c>
      <c r="R267" s="260">
        <f t="shared" si="264"/>
        <v>6774</v>
      </c>
      <c r="S267" s="261"/>
      <c r="T267" s="261"/>
      <c r="U267" s="809"/>
      <c r="V267" s="263">
        <f t="shared" si="265"/>
        <v>6774</v>
      </c>
      <c r="W267" s="72"/>
      <c r="X267" s="261"/>
      <c r="Y267" s="261">
        <f t="shared" si="244"/>
        <v>0</v>
      </c>
      <c r="Z267" s="261">
        <f>IFERROR(VLOOKUP(B267,'55 Bike '!$B$7:$J$139,9,0),0)</f>
        <v>0</v>
      </c>
      <c r="AA267" s="261"/>
      <c r="AB267" s="73">
        <f t="shared" si="266"/>
        <v>0</v>
      </c>
      <c r="AC267" s="73">
        <f t="shared" si="267"/>
        <v>6774</v>
      </c>
      <c r="AD267" s="264" t="s">
        <v>25</v>
      </c>
      <c r="AE267" s="256" t="s">
        <v>1876</v>
      </c>
      <c r="AF267" s="838"/>
      <c r="AG267" s="205"/>
      <c r="AH267" s="383"/>
      <c r="AI267" s="543"/>
      <c r="AJ267" s="548"/>
      <c r="AK267" s="548"/>
      <c r="AL267" s="198"/>
      <c r="AM267" s="320"/>
      <c r="AP267" s="198"/>
    </row>
    <row r="268" spans="1:42" s="61" customFormat="1" ht="24.95" customHeight="1">
      <c r="A268" s="253">
        <v>26</v>
      </c>
      <c r="B268" s="254" t="s">
        <v>1643</v>
      </c>
      <c r="C268" s="255" t="s">
        <v>1653</v>
      </c>
      <c r="D268" s="278" t="s">
        <v>542</v>
      </c>
      <c r="E268" s="278" t="s">
        <v>517</v>
      </c>
      <c r="F268" s="523">
        <v>45566</v>
      </c>
      <c r="G268" s="257">
        <f>VLOOKUP(B268,Attendance!$B$6:$G$386,6,0)</f>
        <v>31</v>
      </c>
      <c r="H268" s="258">
        <f>VLOOKUP(B$8:B$380,Attendance!$B$6:$L$386,11,0)</f>
        <v>0</v>
      </c>
      <c r="I268" s="257">
        <f t="shared" ref="I268:I277" si="268">G268-H268</f>
        <v>31</v>
      </c>
      <c r="J268" s="258">
        <f t="shared" si="248"/>
        <v>741.93548387096769</v>
      </c>
      <c r="K268" s="72">
        <v>23000</v>
      </c>
      <c r="L268" s="72">
        <f t="shared" ref="L268:L277" si="269">K268*60%</f>
        <v>13800</v>
      </c>
      <c r="M268" s="72">
        <f t="shared" ref="M268:M277" si="270">K268*30%</f>
        <v>6900</v>
      </c>
      <c r="N268" s="72">
        <f t="shared" ref="N268:N277" si="271">K268*6%</f>
        <v>1380</v>
      </c>
      <c r="O268" s="72">
        <f t="shared" ref="O268:O277" si="272">K268*4%</f>
        <v>920</v>
      </c>
      <c r="P268" s="259"/>
      <c r="Q268" s="260">
        <f t="shared" ref="Q268:Q281" si="273">SUM(L268:P268)</f>
        <v>23000</v>
      </c>
      <c r="R268" s="260">
        <f t="shared" ref="R268:R281" si="274">ROUND(I268*J268,)</f>
        <v>23000</v>
      </c>
      <c r="S268" s="261"/>
      <c r="T268" s="261"/>
      <c r="U268" s="809"/>
      <c r="V268" s="263">
        <f t="shared" ref="V268:V281" si="275">SUM(R268:U268)</f>
        <v>23000</v>
      </c>
      <c r="W268" s="72"/>
      <c r="X268" s="261"/>
      <c r="Y268" s="261">
        <f t="shared" si="244"/>
        <v>0</v>
      </c>
      <c r="Z268" s="261">
        <f>IFERROR(VLOOKUP(B268,'55 Bike '!$B$7:$J$139,9,0),0)</f>
        <v>0</v>
      </c>
      <c r="AA268" s="261"/>
      <c r="AB268" s="73">
        <f t="shared" ref="AB268:AB277" si="276">SUM(W268:AA268)</f>
        <v>0</v>
      </c>
      <c r="AC268" s="73">
        <f t="shared" ref="AC268:AC281" si="277">ROUND(V268-AB268,0)</f>
        <v>23000</v>
      </c>
      <c r="AD268" s="264" t="s">
        <v>23</v>
      </c>
      <c r="AE268" s="256" t="s">
        <v>1680</v>
      </c>
      <c r="AF268" s="838"/>
      <c r="AG268" s="205"/>
      <c r="AH268" s="383"/>
      <c r="AI268" s="543"/>
      <c r="AJ268" s="548"/>
      <c r="AK268" s="548"/>
      <c r="AL268" s="198"/>
      <c r="AM268" s="320"/>
      <c r="AP268" s="198"/>
    </row>
    <row r="269" spans="1:42" s="61" customFormat="1" ht="24.95" customHeight="1">
      <c r="A269" s="253">
        <v>27</v>
      </c>
      <c r="B269" s="254" t="s">
        <v>1644</v>
      </c>
      <c r="C269" s="255" t="s">
        <v>1654</v>
      </c>
      <c r="D269" s="278" t="s">
        <v>542</v>
      </c>
      <c r="E269" s="278" t="s">
        <v>517</v>
      </c>
      <c r="F269" s="523">
        <v>45566</v>
      </c>
      <c r="G269" s="257">
        <f>VLOOKUP(B269,Attendance!$B$6:$G$386,6,0)</f>
        <v>31</v>
      </c>
      <c r="H269" s="258">
        <f>VLOOKUP(B$8:B$380,Attendance!$B$6:$L$386,11,0)</f>
        <v>0</v>
      </c>
      <c r="I269" s="257">
        <f t="shared" si="268"/>
        <v>31</v>
      </c>
      <c r="J269" s="258">
        <f t="shared" si="248"/>
        <v>580.64516129032256</v>
      </c>
      <c r="K269" s="72">
        <v>18000</v>
      </c>
      <c r="L269" s="72">
        <f t="shared" si="269"/>
        <v>10800</v>
      </c>
      <c r="M269" s="72">
        <f t="shared" si="270"/>
        <v>5400</v>
      </c>
      <c r="N269" s="72">
        <f t="shared" si="271"/>
        <v>1080</v>
      </c>
      <c r="O269" s="72">
        <f t="shared" si="272"/>
        <v>720</v>
      </c>
      <c r="P269" s="259"/>
      <c r="Q269" s="260">
        <f t="shared" si="273"/>
        <v>18000</v>
      </c>
      <c r="R269" s="260">
        <f t="shared" si="274"/>
        <v>18000</v>
      </c>
      <c r="S269" s="261"/>
      <c r="T269" s="261"/>
      <c r="U269" s="809"/>
      <c r="V269" s="263">
        <f t="shared" si="275"/>
        <v>18000</v>
      </c>
      <c r="W269" s="72"/>
      <c r="X269" s="261"/>
      <c r="Y269" s="261">
        <f t="shared" si="244"/>
        <v>0</v>
      </c>
      <c r="Z269" s="261">
        <f>IFERROR(VLOOKUP(B269,'55 Bike '!$B$7:$J$139,9,0),0)</f>
        <v>0</v>
      </c>
      <c r="AA269" s="261"/>
      <c r="AB269" s="73">
        <f t="shared" si="276"/>
        <v>0</v>
      </c>
      <c r="AC269" s="73">
        <f t="shared" si="277"/>
        <v>18000</v>
      </c>
      <c r="AD269" s="264" t="s">
        <v>23</v>
      </c>
      <c r="AE269" s="256" t="s">
        <v>1681</v>
      </c>
      <c r="AF269" s="838"/>
      <c r="AG269" s="205"/>
      <c r="AH269" s="383"/>
      <c r="AI269" s="543"/>
      <c r="AJ269" s="548"/>
      <c r="AK269" s="548"/>
      <c r="AL269" s="198"/>
      <c r="AM269" s="320"/>
      <c r="AP269" s="198"/>
    </row>
    <row r="270" spans="1:42" s="61" customFormat="1" ht="24.95" customHeight="1">
      <c r="A270" s="253">
        <v>28</v>
      </c>
      <c r="B270" s="254" t="s">
        <v>1645</v>
      </c>
      <c r="C270" s="255" t="s">
        <v>912</v>
      </c>
      <c r="D270" s="278" t="s">
        <v>928</v>
      </c>
      <c r="E270" s="278" t="s">
        <v>517</v>
      </c>
      <c r="F270" s="523">
        <v>45566</v>
      </c>
      <c r="G270" s="257">
        <f>VLOOKUP(B270,Attendance!$B$6:$G$386,6,0)</f>
        <v>31</v>
      </c>
      <c r="H270" s="258">
        <f>VLOOKUP(B$8:B$380,Attendance!$B$6:$L$386,11,0)</f>
        <v>0</v>
      </c>
      <c r="I270" s="257">
        <f t="shared" si="268"/>
        <v>31</v>
      </c>
      <c r="J270" s="258">
        <f t="shared" si="248"/>
        <v>870.9677419354839</v>
      </c>
      <c r="K270" s="72">
        <v>27000</v>
      </c>
      <c r="L270" s="72">
        <f t="shared" si="269"/>
        <v>16200</v>
      </c>
      <c r="M270" s="72">
        <f t="shared" si="270"/>
        <v>8100</v>
      </c>
      <c r="N270" s="72">
        <f t="shared" si="271"/>
        <v>1620</v>
      </c>
      <c r="O270" s="72">
        <f t="shared" si="272"/>
        <v>1080</v>
      </c>
      <c r="P270" s="259"/>
      <c r="Q270" s="260">
        <f t="shared" si="273"/>
        <v>27000</v>
      </c>
      <c r="R270" s="260">
        <f t="shared" si="274"/>
        <v>27000</v>
      </c>
      <c r="S270" s="261"/>
      <c r="T270" s="261"/>
      <c r="U270" s="809"/>
      <c r="V270" s="263">
        <f t="shared" si="275"/>
        <v>27000</v>
      </c>
      <c r="W270" s="72"/>
      <c r="X270" s="261"/>
      <c r="Y270" s="261">
        <f t="shared" si="244"/>
        <v>0</v>
      </c>
      <c r="Z270" s="261">
        <f>IFERROR(VLOOKUP(B270,'55 Bike '!$B$7:$J$139,9,0),0)</f>
        <v>2160</v>
      </c>
      <c r="AA270" s="261"/>
      <c r="AB270" s="73">
        <f t="shared" si="276"/>
        <v>2160</v>
      </c>
      <c r="AC270" s="73">
        <f t="shared" si="277"/>
        <v>24840</v>
      </c>
      <c r="AD270" s="264" t="s">
        <v>23</v>
      </c>
      <c r="AE270" s="256" t="s">
        <v>1682</v>
      </c>
      <c r="AF270" s="838"/>
      <c r="AG270" s="205"/>
      <c r="AH270" s="383"/>
      <c r="AI270" s="543"/>
      <c r="AJ270" s="548"/>
      <c r="AK270" s="548"/>
      <c r="AL270" s="198"/>
      <c r="AM270" s="320"/>
      <c r="AP270" s="198"/>
    </row>
    <row r="271" spans="1:42" s="61" customFormat="1" ht="24.95" customHeight="1">
      <c r="A271" s="253">
        <v>29</v>
      </c>
      <c r="B271" s="254" t="s">
        <v>1646</v>
      </c>
      <c r="C271" s="255" t="s">
        <v>1655</v>
      </c>
      <c r="D271" s="278" t="s">
        <v>542</v>
      </c>
      <c r="E271" s="278" t="s">
        <v>517</v>
      </c>
      <c r="F271" s="523">
        <v>45568</v>
      </c>
      <c r="G271" s="257">
        <f>VLOOKUP(B271,Attendance!$B$6:$G$386,6,0)</f>
        <v>31</v>
      </c>
      <c r="H271" s="258">
        <f>VLOOKUP(B$8:B$380,Attendance!$B$6:$L$386,11,0)</f>
        <v>0</v>
      </c>
      <c r="I271" s="257">
        <f t="shared" si="268"/>
        <v>31</v>
      </c>
      <c r="J271" s="258">
        <f t="shared" si="248"/>
        <v>709.67741935483866</v>
      </c>
      <c r="K271" s="72">
        <v>22000</v>
      </c>
      <c r="L271" s="72">
        <f t="shared" si="269"/>
        <v>13200</v>
      </c>
      <c r="M271" s="72">
        <f t="shared" si="270"/>
        <v>6600</v>
      </c>
      <c r="N271" s="72">
        <f t="shared" si="271"/>
        <v>1320</v>
      </c>
      <c r="O271" s="72">
        <f t="shared" si="272"/>
        <v>880</v>
      </c>
      <c r="P271" s="259"/>
      <c r="Q271" s="260">
        <f t="shared" si="273"/>
        <v>22000</v>
      </c>
      <c r="R271" s="260">
        <f t="shared" si="274"/>
        <v>22000</v>
      </c>
      <c r="S271" s="261"/>
      <c r="T271" s="261"/>
      <c r="U271" s="809"/>
      <c r="V271" s="263">
        <f t="shared" si="275"/>
        <v>22000</v>
      </c>
      <c r="W271" s="72"/>
      <c r="X271" s="261"/>
      <c r="Y271" s="261">
        <f t="shared" si="244"/>
        <v>0</v>
      </c>
      <c r="Z271" s="261">
        <f>IFERROR(VLOOKUP(B271,'55 Bike '!$B$7:$J$139,9,0),0)</f>
        <v>0</v>
      </c>
      <c r="AA271" s="261"/>
      <c r="AB271" s="73">
        <f t="shared" si="276"/>
        <v>0</v>
      </c>
      <c r="AC271" s="73">
        <f t="shared" si="277"/>
        <v>22000</v>
      </c>
      <c r="AD271" s="264" t="s">
        <v>23</v>
      </c>
      <c r="AE271" s="256" t="s">
        <v>1683</v>
      </c>
      <c r="AF271" s="838"/>
      <c r="AG271" s="205"/>
      <c r="AH271" s="383"/>
      <c r="AI271" s="543"/>
      <c r="AJ271" s="548"/>
      <c r="AK271" s="548"/>
      <c r="AL271" s="198"/>
      <c r="AM271" s="320"/>
      <c r="AP271" s="198"/>
    </row>
    <row r="272" spans="1:42" s="61" customFormat="1" ht="24.95" customHeight="1">
      <c r="A272" s="253">
        <v>30</v>
      </c>
      <c r="B272" s="254" t="s">
        <v>1647</v>
      </c>
      <c r="C272" s="255" t="s">
        <v>1656</v>
      </c>
      <c r="D272" s="278" t="s">
        <v>542</v>
      </c>
      <c r="E272" s="278" t="s">
        <v>517</v>
      </c>
      <c r="F272" s="523">
        <v>45568</v>
      </c>
      <c r="G272" s="257">
        <f>VLOOKUP(B272,Attendance!$B$6:$G$386,6,0)</f>
        <v>31</v>
      </c>
      <c r="H272" s="258">
        <f>VLOOKUP(B$8:B$380,Attendance!$B$6:$L$386,11,0)</f>
        <v>0</v>
      </c>
      <c r="I272" s="257">
        <f t="shared" si="268"/>
        <v>31</v>
      </c>
      <c r="J272" s="258">
        <f t="shared" si="248"/>
        <v>580.64516129032256</v>
      </c>
      <c r="K272" s="72">
        <v>18000</v>
      </c>
      <c r="L272" s="72">
        <f t="shared" si="269"/>
        <v>10800</v>
      </c>
      <c r="M272" s="72">
        <f t="shared" si="270"/>
        <v>5400</v>
      </c>
      <c r="N272" s="72">
        <f t="shared" si="271"/>
        <v>1080</v>
      </c>
      <c r="O272" s="72">
        <f t="shared" si="272"/>
        <v>720</v>
      </c>
      <c r="P272" s="259"/>
      <c r="Q272" s="260">
        <f t="shared" si="273"/>
        <v>18000</v>
      </c>
      <c r="R272" s="260">
        <f t="shared" si="274"/>
        <v>18000</v>
      </c>
      <c r="S272" s="261"/>
      <c r="T272" s="261"/>
      <c r="U272" s="809"/>
      <c r="V272" s="263">
        <f t="shared" si="275"/>
        <v>18000</v>
      </c>
      <c r="W272" s="72"/>
      <c r="X272" s="261"/>
      <c r="Y272" s="261">
        <f t="shared" si="244"/>
        <v>0</v>
      </c>
      <c r="Z272" s="261">
        <f>IFERROR(VLOOKUP(B272,'55 Bike '!$B$7:$J$139,9,0),0)</f>
        <v>0</v>
      </c>
      <c r="AA272" s="261"/>
      <c r="AB272" s="73">
        <f t="shared" si="276"/>
        <v>0</v>
      </c>
      <c r="AC272" s="73">
        <f t="shared" si="277"/>
        <v>18000</v>
      </c>
      <c r="AD272" s="264" t="s">
        <v>23</v>
      </c>
      <c r="AE272" s="256" t="s">
        <v>1684</v>
      </c>
      <c r="AF272" s="838"/>
      <c r="AG272" s="205"/>
      <c r="AH272" s="383"/>
      <c r="AI272" s="543"/>
      <c r="AJ272" s="548"/>
      <c r="AK272" s="548"/>
      <c r="AL272" s="198"/>
      <c r="AM272" s="320"/>
      <c r="AP272" s="198"/>
    </row>
    <row r="273" spans="1:43" s="61" customFormat="1" ht="24.95" customHeight="1">
      <c r="A273" s="253">
        <v>31</v>
      </c>
      <c r="B273" s="254" t="s">
        <v>1648</v>
      </c>
      <c r="C273" s="255" t="s">
        <v>1310</v>
      </c>
      <c r="D273" s="278" t="s">
        <v>1657</v>
      </c>
      <c r="E273" s="278" t="s">
        <v>517</v>
      </c>
      <c r="F273" s="523">
        <v>45568</v>
      </c>
      <c r="G273" s="257">
        <f>VLOOKUP(B273,Attendance!$B$6:$G$386,6,0)</f>
        <v>31</v>
      </c>
      <c r="H273" s="258">
        <f>VLOOKUP(B$8:B$380,Attendance!$B$6:$L$386,11,0)</f>
        <v>0</v>
      </c>
      <c r="I273" s="257">
        <f t="shared" si="268"/>
        <v>31</v>
      </c>
      <c r="J273" s="258">
        <f t="shared" si="248"/>
        <v>870.9677419354839</v>
      </c>
      <c r="K273" s="72">
        <v>27000</v>
      </c>
      <c r="L273" s="72">
        <f t="shared" si="269"/>
        <v>16200</v>
      </c>
      <c r="M273" s="72">
        <f t="shared" si="270"/>
        <v>8100</v>
      </c>
      <c r="N273" s="72">
        <f t="shared" si="271"/>
        <v>1620</v>
      </c>
      <c r="O273" s="72">
        <f t="shared" si="272"/>
        <v>1080</v>
      </c>
      <c r="P273" s="259"/>
      <c r="Q273" s="260">
        <f t="shared" si="273"/>
        <v>27000</v>
      </c>
      <c r="R273" s="260">
        <f t="shared" si="274"/>
        <v>27000</v>
      </c>
      <c r="S273" s="261"/>
      <c r="T273" s="261"/>
      <c r="U273" s="809"/>
      <c r="V273" s="263">
        <f t="shared" si="275"/>
        <v>27000</v>
      </c>
      <c r="W273" s="72"/>
      <c r="X273" s="261"/>
      <c r="Y273" s="261">
        <f t="shared" si="244"/>
        <v>0</v>
      </c>
      <c r="Z273" s="261">
        <f>IFERROR(VLOOKUP(B273,'55 Bike '!$B$7:$J$139,9,0),0)</f>
        <v>0</v>
      </c>
      <c r="AA273" s="261"/>
      <c r="AB273" s="73">
        <f t="shared" si="276"/>
        <v>0</v>
      </c>
      <c r="AC273" s="73">
        <f t="shared" si="277"/>
        <v>27000</v>
      </c>
      <c r="AD273" s="264" t="s">
        <v>23</v>
      </c>
      <c r="AE273" s="256" t="s">
        <v>1685</v>
      </c>
      <c r="AF273" s="838"/>
      <c r="AG273" s="205"/>
      <c r="AH273" s="383"/>
      <c r="AI273" s="543"/>
      <c r="AJ273" s="548"/>
      <c r="AK273" s="548"/>
      <c r="AL273" s="198"/>
      <c r="AM273" s="320"/>
      <c r="AP273" s="198"/>
    </row>
    <row r="274" spans="1:43" s="61" customFormat="1" ht="24.95" customHeight="1">
      <c r="A274" s="253">
        <v>32</v>
      </c>
      <c r="B274" s="254" t="s">
        <v>1649</v>
      </c>
      <c r="C274" s="255" t="s">
        <v>1658</v>
      </c>
      <c r="D274" s="278" t="s">
        <v>1659</v>
      </c>
      <c r="E274" s="278" t="s">
        <v>517</v>
      </c>
      <c r="F274" s="523">
        <v>45577</v>
      </c>
      <c r="G274" s="257">
        <f>VLOOKUP(B274,Attendance!$B$6:$G$386,6,0)</f>
        <v>31</v>
      </c>
      <c r="H274" s="258">
        <f>VLOOKUP(B$8:B$380,Attendance!$B$6:$L$386,11,0)</f>
        <v>0</v>
      </c>
      <c r="I274" s="257">
        <f t="shared" si="268"/>
        <v>31</v>
      </c>
      <c r="J274" s="258">
        <f t="shared" si="248"/>
        <v>1258.0645161290322</v>
      </c>
      <c r="K274" s="72">
        <v>39000</v>
      </c>
      <c r="L274" s="72">
        <f t="shared" si="269"/>
        <v>23400</v>
      </c>
      <c r="M274" s="72">
        <f t="shared" si="270"/>
        <v>11700</v>
      </c>
      <c r="N274" s="72">
        <f t="shared" si="271"/>
        <v>2340</v>
      </c>
      <c r="O274" s="72">
        <f t="shared" si="272"/>
        <v>1560</v>
      </c>
      <c r="P274" s="259"/>
      <c r="Q274" s="260">
        <f t="shared" si="273"/>
        <v>39000</v>
      </c>
      <c r="R274" s="260">
        <f t="shared" si="274"/>
        <v>39000</v>
      </c>
      <c r="S274" s="261"/>
      <c r="T274" s="261"/>
      <c r="U274" s="809"/>
      <c r="V274" s="263">
        <f t="shared" si="275"/>
        <v>39000</v>
      </c>
      <c r="W274" s="72"/>
      <c r="X274" s="261"/>
      <c r="Y274" s="261">
        <f t="shared" si="244"/>
        <v>0</v>
      </c>
      <c r="Z274" s="261">
        <f>IFERROR(VLOOKUP(B274,'55 Bike '!$B$7:$J$139,9,0),0)</f>
        <v>0</v>
      </c>
      <c r="AA274" s="261"/>
      <c r="AB274" s="73">
        <f t="shared" si="276"/>
        <v>0</v>
      </c>
      <c r="AC274" s="73">
        <f t="shared" si="277"/>
        <v>39000</v>
      </c>
      <c r="AD274" s="264" t="s">
        <v>23</v>
      </c>
      <c r="AE274" s="256" t="s">
        <v>1686</v>
      </c>
      <c r="AF274" s="838"/>
      <c r="AG274" s="205"/>
      <c r="AH274" s="383"/>
      <c r="AI274" s="543"/>
      <c r="AJ274" s="548"/>
      <c r="AK274" s="548"/>
      <c r="AL274" s="198"/>
      <c r="AM274" s="320"/>
      <c r="AP274" s="198"/>
    </row>
    <row r="275" spans="1:43" s="61" customFormat="1" ht="24.95" customHeight="1">
      <c r="A275" s="253">
        <v>33</v>
      </c>
      <c r="B275" s="254" t="s">
        <v>1650</v>
      </c>
      <c r="C275" s="255" t="s">
        <v>1660</v>
      </c>
      <c r="D275" s="278" t="s">
        <v>1661</v>
      </c>
      <c r="E275" s="278" t="s">
        <v>517</v>
      </c>
      <c r="F275" s="523">
        <v>45571</v>
      </c>
      <c r="G275" s="257">
        <f>VLOOKUP(B275,Attendance!$B$6:$G$386,6,0)</f>
        <v>31</v>
      </c>
      <c r="H275" s="258">
        <f>VLOOKUP(B$8:B$380,Attendance!$B$6:$L$386,11,0)</f>
        <v>0</v>
      </c>
      <c r="I275" s="257">
        <f t="shared" si="268"/>
        <v>31</v>
      </c>
      <c r="J275" s="258">
        <f t="shared" si="248"/>
        <v>1129.0322580645161</v>
      </c>
      <c r="K275" s="72">
        <v>35000</v>
      </c>
      <c r="L275" s="72">
        <f t="shared" si="269"/>
        <v>21000</v>
      </c>
      <c r="M275" s="72">
        <f t="shared" si="270"/>
        <v>10500</v>
      </c>
      <c r="N275" s="72">
        <f t="shared" si="271"/>
        <v>2100</v>
      </c>
      <c r="O275" s="72">
        <f t="shared" si="272"/>
        <v>1400</v>
      </c>
      <c r="P275" s="259"/>
      <c r="Q275" s="260">
        <f t="shared" si="273"/>
        <v>35000</v>
      </c>
      <c r="R275" s="260">
        <f t="shared" si="274"/>
        <v>35000</v>
      </c>
      <c r="S275" s="261"/>
      <c r="T275" s="261"/>
      <c r="U275" s="809"/>
      <c r="V275" s="263">
        <f t="shared" si="275"/>
        <v>35000</v>
      </c>
      <c r="W275" s="72"/>
      <c r="X275" s="261"/>
      <c r="Y275" s="261">
        <f t="shared" si="244"/>
        <v>0</v>
      </c>
      <c r="Z275" s="261">
        <f>IFERROR(VLOOKUP(B275,'55 Bike '!$B$7:$J$139,9,0),0)</f>
        <v>0</v>
      </c>
      <c r="AA275" s="261"/>
      <c r="AB275" s="73">
        <f t="shared" si="276"/>
        <v>0</v>
      </c>
      <c r="AC275" s="73">
        <f t="shared" si="277"/>
        <v>35000</v>
      </c>
      <c r="AD275" s="264" t="s">
        <v>23</v>
      </c>
      <c r="AE275" s="256" t="s">
        <v>1687</v>
      </c>
      <c r="AF275" s="838"/>
      <c r="AG275" s="205"/>
      <c r="AH275" s="383"/>
      <c r="AI275" s="543"/>
      <c r="AJ275" s="548"/>
      <c r="AK275" s="548"/>
      <c r="AL275" s="198"/>
      <c r="AM275" s="320"/>
      <c r="AP275" s="198"/>
    </row>
    <row r="276" spans="1:43" s="61" customFormat="1" ht="24.95" customHeight="1">
      <c r="A276" s="253">
        <v>34</v>
      </c>
      <c r="B276" s="254" t="s">
        <v>1651</v>
      </c>
      <c r="C276" s="255" t="s">
        <v>1662</v>
      </c>
      <c r="D276" s="278" t="s">
        <v>928</v>
      </c>
      <c r="E276" s="278" t="s">
        <v>517</v>
      </c>
      <c r="F276" s="523">
        <v>45579</v>
      </c>
      <c r="G276" s="257">
        <f>VLOOKUP(B276,Attendance!$B$6:$G$386,6,0)</f>
        <v>31</v>
      </c>
      <c r="H276" s="258">
        <f>VLOOKUP(B$8:B$380,Attendance!$B$6:$L$386,11,0)</f>
        <v>0</v>
      </c>
      <c r="I276" s="257">
        <f t="shared" si="268"/>
        <v>31</v>
      </c>
      <c r="J276" s="258">
        <f t="shared" si="248"/>
        <v>1000</v>
      </c>
      <c r="K276" s="72">
        <v>31000</v>
      </c>
      <c r="L276" s="72">
        <f t="shared" si="269"/>
        <v>18600</v>
      </c>
      <c r="M276" s="72">
        <f t="shared" si="270"/>
        <v>9300</v>
      </c>
      <c r="N276" s="72">
        <f t="shared" si="271"/>
        <v>1860</v>
      </c>
      <c r="O276" s="72">
        <f t="shared" si="272"/>
        <v>1240</v>
      </c>
      <c r="P276" s="259"/>
      <c r="Q276" s="260">
        <f t="shared" si="273"/>
        <v>31000</v>
      </c>
      <c r="R276" s="260">
        <f t="shared" si="274"/>
        <v>31000</v>
      </c>
      <c r="S276" s="261"/>
      <c r="T276" s="261"/>
      <c r="U276" s="809"/>
      <c r="V276" s="263">
        <f t="shared" si="275"/>
        <v>31000</v>
      </c>
      <c r="W276" s="72"/>
      <c r="X276" s="261"/>
      <c r="Y276" s="261">
        <f t="shared" si="244"/>
        <v>0</v>
      </c>
      <c r="Z276" s="261">
        <f>IFERROR(VLOOKUP(B276,'55 Bike '!$B$7:$J$139,9,0),0)</f>
        <v>0</v>
      </c>
      <c r="AA276" s="261"/>
      <c r="AB276" s="73">
        <f t="shared" si="276"/>
        <v>0</v>
      </c>
      <c r="AC276" s="73">
        <f t="shared" si="277"/>
        <v>31000</v>
      </c>
      <c r="AD276" s="264" t="s">
        <v>23</v>
      </c>
      <c r="AE276" s="256" t="s">
        <v>1688</v>
      </c>
      <c r="AF276" s="838"/>
      <c r="AG276" s="205"/>
      <c r="AH276" s="383"/>
      <c r="AI276" s="543"/>
      <c r="AJ276" s="548"/>
      <c r="AK276" s="548"/>
      <c r="AL276" s="198"/>
      <c r="AM276" s="320"/>
      <c r="AP276" s="198"/>
    </row>
    <row r="277" spans="1:43" s="61" customFormat="1" ht="24.95" customHeight="1">
      <c r="A277" s="253">
        <v>35</v>
      </c>
      <c r="B277" s="254" t="s">
        <v>1652</v>
      </c>
      <c r="C277" s="255" t="s">
        <v>1663</v>
      </c>
      <c r="D277" s="278" t="s">
        <v>890</v>
      </c>
      <c r="E277" s="278" t="s">
        <v>517</v>
      </c>
      <c r="F277" s="523">
        <v>45584</v>
      </c>
      <c r="G277" s="257">
        <f>VLOOKUP(B277,Attendance!$B$6:$G$386,6,0)</f>
        <v>31</v>
      </c>
      <c r="H277" s="258">
        <f>VLOOKUP(B$8:B$380,Attendance!$B$6:$L$386,11,0)</f>
        <v>0</v>
      </c>
      <c r="I277" s="257">
        <f t="shared" si="268"/>
        <v>31</v>
      </c>
      <c r="J277" s="258">
        <f t="shared" si="248"/>
        <v>580.64516129032256</v>
      </c>
      <c r="K277" s="72">
        <v>18000</v>
      </c>
      <c r="L277" s="72">
        <f t="shared" si="269"/>
        <v>10800</v>
      </c>
      <c r="M277" s="72">
        <f t="shared" si="270"/>
        <v>5400</v>
      </c>
      <c r="N277" s="72">
        <f t="shared" si="271"/>
        <v>1080</v>
      </c>
      <c r="O277" s="72">
        <f t="shared" si="272"/>
        <v>720</v>
      </c>
      <c r="P277" s="259"/>
      <c r="Q277" s="260">
        <f t="shared" si="273"/>
        <v>18000</v>
      </c>
      <c r="R277" s="260">
        <f t="shared" si="274"/>
        <v>18000</v>
      </c>
      <c r="S277" s="261"/>
      <c r="T277" s="261"/>
      <c r="U277" s="809"/>
      <c r="V277" s="263">
        <f t="shared" si="275"/>
        <v>18000</v>
      </c>
      <c r="W277" s="72"/>
      <c r="X277" s="261"/>
      <c r="Y277" s="261">
        <f t="shared" si="244"/>
        <v>0</v>
      </c>
      <c r="Z277" s="261">
        <f>IFERROR(VLOOKUP(B277,'55 Bike '!$B$7:$J$139,9,0),0)</f>
        <v>0</v>
      </c>
      <c r="AA277" s="261"/>
      <c r="AB277" s="73">
        <f t="shared" si="276"/>
        <v>0</v>
      </c>
      <c r="AC277" s="73">
        <f t="shared" si="277"/>
        <v>18000</v>
      </c>
      <c r="AD277" s="264" t="s">
        <v>23</v>
      </c>
      <c r="AE277" s="256" t="s">
        <v>1689</v>
      </c>
      <c r="AF277" s="838"/>
      <c r="AG277" s="205"/>
      <c r="AH277" s="383"/>
      <c r="AI277" s="543"/>
      <c r="AJ277" s="548"/>
      <c r="AK277" s="548"/>
      <c r="AL277" s="198"/>
      <c r="AM277" s="320"/>
      <c r="AP277" s="198"/>
    </row>
    <row r="278" spans="1:43" s="61" customFormat="1" ht="24.95" customHeight="1">
      <c r="A278" s="253">
        <v>36</v>
      </c>
      <c r="B278" s="254" t="s">
        <v>1784</v>
      </c>
      <c r="C278" s="255" t="s">
        <v>1785</v>
      </c>
      <c r="D278" s="278" t="s">
        <v>489</v>
      </c>
      <c r="E278" s="278" t="s">
        <v>517</v>
      </c>
      <c r="F278" s="523">
        <v>45598</v>
      </c>
      <c r="G278" s="257">
        <f>VLOOKUP(B278,Attendance!$B$6:$G$386,6,0)</f>
        <v>31</v>
      </c>
      <c r="H278" s="258">
        <f>VLOOKUP(B$8:B$380,Attendance!$B$6:$L$386,11,0)</f>
        <v>0</v>
      </c>
      <c r="I278" s="257">
        <f t="shared" ref="I278:I281" si="278">G278-H278</f>
        <v>31</v>
      </c>
      <c r="J278" s="258">
        <f t="shared" ref="J278:J281" si="279">Q278/G278</f>
        <v>1161.2903225806451</v>
      </c>
      <c r="K278" s="72">
        <v>36000</v>
      </c>
      <c r="L278" s="72">
        <f t="shared" ref="L278:L281" si="280">K278*60%</f>
        <v>21600</v>
      </c>
      <c r="M278" s="72">
        <f t="shared" ref="M278:M281" si="281">K278*30%</f>
        <v>10800</v>
      </c>
      <c r="N278" s="72">
        <f t="shared" ref="N278:N281" si="282">K278*6%</f>
        <v>2160</v>
      </c>
      <c r="O278" s="72">
        <f t="shared" ref="O278:O281" si="283">K278*4%</f>
        <v>1440</v>
      </c>
      <c r="P278" s="259"/>
      <c r="Q278" s="260">
        <f t="shared" si="273"/>
        <v>36000</v>
      </c>
      <c r="R278" s="260">
        <f t="shared" si="274"/>
        <v>36000</v>
      </c>
      <c r="S278" s="261"/>
      <c r="T278" s="261"/>
      <c r="U278" s="809"/>
      <c r="V278" s="263">
        <f t="shared" si="275"/>
        <v>36000</v>
      </c>
      <c r="W278" s="72"/>
      <c r="X278" s="261"/>
      <c r="Y278" s="261">
        <f t="shared" si="244"/>
        <v>0</v>
      </c>
      <c r="Z278" s="261">
        <f>IFERROR(VLOOKUP(B278,'55 Bike '!$B$7:$J$139,9,0),0)</f>
        <v>0</v>
      </c>
      <c r="AA278" s="261"/>
      <c r="AB278" s="73"/>
      <c r="AC278" s="73">
        <f t="shared" si="277"/>
        <v>36000</v>
      </c>
      <c r="AD278" s="264" t="s">
        <v>23</v>
      </c>
      <c r="AE278" s="256" t="s">
        <v>1818</v>
      </c>
      <c r="AF278" s="838"/>
      <c r="AG278" s="205"/>
      <c r="AH278" s="383"/>
      <c r="AI278" s="543"/>
      <c r="AJ278" s="548"/>
      <c r="AK278" s="548"/>
      <c r="AL278" s="198"/>
      <c r="AM278" s="320"/>
      <c r="AP278" s="198"/>
    </row>
    <row r="279" spans="1:43" s="61" customFormat="1" ht="24.95" customHeight="1">
      <c r="A279" s="253">
        <v>37</v>
      </c>
      <c r="B279" s="254" t="s">
        <v>1786</v>
      </c>
      <c r="C279" s="255" t="s">
        <v>1787</v>
      </c>
      <c r="D279" s="278" t="s">
        <v>542</v>
      </c>
      <c r="E279" s="278" t="s">
        <v>517</v>
      </c>
      <c r="F279" s="523">
        <v>45598</v>
      </c>
      <c r="G279" s="257">
        <f>VLOOKUP(B279,Attendance!$B$6:$G$386,6,0)</f>
        <v>31</v>
      </c>
      <c r="H279" s="258">
        <f>VLOOKUP(B$8:B$380,Attendance!$B$6:$L$386,11,0)</f>
        <v>0</v>
      </c>
      <c r="I279" s="257">
        <f t="shared" si="278"/>
        <v>31</v>
      </c>
      <c r="J279" s="258">
        <f t="shared" si="279"/>
        <v>709.67741935483866</v>
      </c>
      <c r="K279" s="72">
        <v>22000</v>
      </c>
      <c r="L279" s="72">
        <f t="shared" si="280"/>
        <v>13200</v>
      </c>
      <c r="M279" s="72">
        <f t="shared" si="281"/>
        <v>6600</v>
      </c>
      <c r="N279" s="72">
        <f t="shared" si="282"/>
        <v>1320</v>
      </c>
      <c r="O279" s="72">
        <f t="shared" si="283"/>
        <v>880</v>
      </c>
      <c r="P279" s="259"/>
      <c r="Q279" s="260">
        <f t="shared" si="273"/>
        <v>22000</v>
      </c>
      <c r="R279" s="260">
        <f t="shared" si="274"/>
        <v>22000</v>
      </c>
      <c r="S279" s="261"/>
      <c r="T279" s="261"/>
      <c r="U279" s="809"/>
      <c r="V279" s="263">
        <f t="shared" si="275"/>
        <v>22000</v>
      </c>
      <c r="W279" s="72"/>
      <c r="X279" s="261"/>
      <c r="Y279" s="261">
        <f t="shared" si="244"/>
        <v>0</v>
      </c>
      <c r="Z279" s="261">
        <f>IFERROR(VLOOKUP(B279,'55 Bike '!$B$7:$J$139,9,0),0)</f>
        <v>0</v>
      </c>
      <c r="AA279" s="261"/>
      <c r="AB279" s="73"/>
      <c r="AC279" s="73">
        <f t="shared" si="277"/>
        <v>22000</v>
      </c>
      <c r="AD279" s="264" t="s">
        <v>23</v>
      </c>
      <c r="AE279" s="256" t="s">
        <v>1819</v>
      </c>
      <c r="AF279" s="838"/>
      <c r="AG279" s="205"/>
      <c r="AH279" s="383"/>
      <c r="AI279" s="543"/>
      <c r="AJ279" s="548"/>
      <c r="AK279" s="548"/>
      <c r="AL279" s="198"/>
      <c r="AM279" s="320"/>
      <c r="AP279" s="198"/>
    </row>
    <row r="280" spans="1:43" s="61" customFormat="1" ht="24.95" customHeight="1">
      <c r="A280" s="253">
        <v>38</v>
      </c>
      <c r="B280" s="254" t="s">
        <v>1788</v>
      </c>
      <c r="C280" s="255" t="s">
        <v>1789</v>
      </c>
      <c r="D280" s="278" t="s">
        <v>542</v>
      </c>
      <c r="E280" s="278" t="s">
        <v>517</v>
      </c>
      <c r="F280" s="523">
        <v>45598</v>
      </c>
      <c r="G280" s="257">
        <f>VLOOKUP(B280,Attendance!$B$6:$G$386,6,0)</f>
        <v>31</v>
      </c>
      <c r="H280" s="258">
        <f>VLOOKUP(B$8:B$380,Attendance!$B$6:$L$386,11,0)</f>
        <v>0</v>
      </c>
      <c r="I280" s="257">
        <f t="shared" si="278"/>
        <v>31</v>
      </c>
      <c r="J280" s="258">
        <f t="shared" si="279"/>
        <v>741.93548387096769</v>
      </c>
      <c r="K280" s="72">
        <v>23000</v>
      </c>
      <c r="L280" s="72">
        <f t="shared" si="280"/>
        <v>13800</v>
      </c>
      <c r="M280" s="72">
        <f t="shared" si="281"/>
        <v>6900</v>
      </c>
      <c r="N280" s="72">
        <f t="shared" si="282"/>
        <v>1380</v>
      </c>
      <c r="O280" s="72">
        <f t="shared" si="283"/>
        <v>920</v>
      </c>
      <c r="P280" s="259"/>
      <c r="Q280" s="260">
        <f t="shared" si="273"/>
        <v>23000</v>
      </c>
      <c r="R280" s="260">
        <f t="shared" si="274"/>
        <v>23000</v>
      </c>
      <c r="S280" s="261"/>
      <c r="T280" s="261"/>
      <c r="U280" s="809"/>
      <c r="V280" s="263">
        <f t="shared" si="275"/>
        <v>23000</v>
      </c>
      <c r="W280" s="72"/>
      <c r="X280" s="261"/>
      <c r="Y280" s="261">
        <f t="shared" si="244"/>
        <v>0</v>
      </c>
      <c r="Z280" s="261">
        <f>IFERROR(VLOOKUP(B280,'55 Bike '!$B$7:$J$139,9,0),0)</f>
        <v>0</v>
      </c>
      <c r="AA280" s="261"/>
      <c r="AB280" s="73"/>
      <c r="AC280" s="73">
        <f t="shared" si="277"/>
        <v>23000</v>
      </c>
      <c r="AD280" s="264" t="s">
        <v>23</v>
      </c>
      <c r="AE280" s="256" t="s">
        <v>1825</v>
      </c>
      <c r="AF280" s="838"/>
      <c r="AG280" s="205"/>
      <c r="AH280" s="383"/>
      <c r="AI280" s="543"/>
      <c r="AJ280" s="548"/>
      <c r="AK280" s="548"/>
      <c r="AL280" s="198"/>
      <c r="AM280" s="320"/>
      <c r="AP280" s="198"/>
    </row>
    <row r="281" spans="1:43" s="61" customFormat="1" ht="24.95" customHeight="1">
      <c r="A281" s="253">
        <v>39</v>
      </c>
      <c r="B281" s="254" t="s">
        <v>854</v>
      </c>
      <c r="C281" s="255" t="s">
        <v>1802</v>
      </c>
      <c r="D281" s="278" t="s">
        <v>452</v>
      </c>
      <c r="E281" s="278" t="s">
        <v>517</v>
      </c>
      <c r="F281" s="523">
        <v>45619</v>
      </c>
      <c r="G281" s="257">
        <f>VLOOKUP(B281,Attendance!$B$6:$G$386,6,0)</f>
        <v>31</v>
      </c>
      <c r="H281" s="258">
        <f>VLOOKUP(B$8:B$380,Attendance!$B$6:$L$386,11,0)</f>
        <v>0</v>
      </c>
      <c r="I281" s="257">
        <f t="shared" si="278"/>
        <v>31</v>
      </c>
      <c r="J281" s="258">
        <f t="shared" si="279"/>
        <v>1032.258064516129</v>
      </c>
      <c r="K281" s="72">
        <v>32000</v>
      </c>
      <c r="L281" s="72">
        <f t="shared" si="280"/>
        <v>19200</v>
      </c>
      <c r="M281" s="72">
        <f t="shared" si="281"/>
        <v>9600</v>
      </c>
      <c r="N281" s="72">
        <f t="shared" si="282"/>
        <v>1920</v>
      </c>
      <c r="O281" s="72">
        <f t="shared" si="283"/>
        <v>1280</v>
      </c>
      <c r="P281" s="259"/>
      <c r="Q281" s="260">
        <f t="shared" si="273"/>
        <v>32000</v>
      </c>
      <c r="R281" s="260">
        <f t="shared" si="274"/>
        <v>32000</v>
      </c>
      <c r="S281" s="261"/>
      <c r="T281" s="261"/>
      <c r="U281" s="809"/>
      <c r="V281" s="263">
        <f t="shared" si="275"/>
        <v>32000</v>
      </c>
      <c r="W281" s="72"/>
      <c r="X281" s="261"/>
      <c r="Y281" s="261">
        <f t="shared" si="244"/>
        <v>0</v>
      </c>
      <c r="Z281" s="261">
        <f>IFERROR(VLOOKUP(B281,'55 Bike '!$B$7:$J$139,9,0),0)</f>
        <v>2160</v>
      </c>
      <c r="AA281" s="261"/>
      <c r="AB281" s="73"/>
      <c r="AC281" s="73">
        <f t="shared" si="277"/>
        <v>32000</v>
      </c>
      <c r="AD281" s="264" t="s">
        <v>23</v>
      </c>
      <c r="AE281" s="256" t="s">
        <v>1821</v>
      </c>
      <c r="AF281" s="838"/>
      <c r="AG281" s="205"/>
      <c r="AH281" s="383"/>
      <c r="AI281" s="543"/>
      <c r="AJ281" s="548"/>
      <c r="AK281" s="548"/>
      <c r="AL281" s="198"/>
      <c r="AM281" s="320"/>
      <c r="AP281" s="198"/>
    </row>
    <row r="282" spans="1:43" s="30" customFormat="1" ht="24.95" customHeight="1">
      <c r="A282" s="101" t="s">
        <v>67</v>
      </c>
      <c r="B282" s="102"/>
      <c r="C282" s="103"/>
      <c r="D282" s="282"/>
      <c r="E282" s="282"/>
      <c r="F282" s="526"/>
      <c r="G282" s="105"/>
      <c r="H282" s="105"/>
      <c r="I282" s="105"/>
      <c r="J282" s="105"/>
      <c r="K282" s="107">
        <f t="shared" ref="K282:AB282" si="284">SUM(K243:K281)</f>
        <v>1316100</v>
      </c>
      <c r="L282" s="107">
        <f t="shared" si="284"/>
        <v>789660</v>
      </c>
      <c r="M282" s="107">
        <f t="shared" si="284"/>
        <v>394830</v>
      </c>
      <c r="N282" s="107">
        <f t="shared" si="284"/>
        <v>78966</v>
      </c>
      <c r="O282" s="107">
        <f t="shared" si="284"/>
        <v>52644</v>
      </c>
      <c r="P282" s="107">
        <f t="shared" si="284"/>
        <v>0</v>
      </c>
      <c r="Q282" s="107">
        <f t="shared" si="284"/>
        <v>1316100</v>
      </c>
      <c r="R282" s="107">
        <f t="shared" si="284"/>
        <v>1287874</v>
      </c>
      <c r="S282" s="107">
        <f t="shared" si="284"/>
        <v>0</v>
      </c>
      <c r="T282" s="107">
        <f t="shared" si="284"/>
        <v>0</v>
      </c>
      <c r="U282" s="107">
        <f t="shared" ref="U282:V282" si="285">SUM(U243:U281)</f>
        <v>2800</v>
      </c>
      <c r="V282" s="107">
        <f t="shared" si="285"/>
        <v>1290674</v>
      </c>
      <c r="W282" s="107">
        <f t="shared" si="284"/>
        <v>7031</v>
      </c>
      <c r="X282" s="107">
        <f t="shared" si="284"/>
        <v>0</v>
      </c>
      <c r="Y282" s="107">
        <f t="shared" si="284"/>
        <v>14313</v>
      </c>
      <c r="Z282" s="107">
        <f t="shared" si="284"/>
        <v>24124</v>
      </c>
      <c r="AA282" s="107">
        <f t="shared" si="284"/>
        <v>0</v>
      </c>
      <c r="AB282" s="107">
        <f t="shared" si="284"/>
        <v>43308</v>
      </c>
      <c r="AC282" s="107">
        <f>SUM(AC243:AC281)</f>
        <v>1247366</v>
      </c>
      <c r="AD282" s="107"/>
      <c r="AE282" s="113"/>
      <c r="AF282" s="838"/>
      <c r="AG282" s="199"/>
      <c r="AH282" s="383"/>
      <c r="AI282" s="543"/>
      <c r="AJ282" s="548"/>
      <c r="AK282" s="549"/>
      <c r="AL282" s="198"/>
      <c r="AM282" s="320"/>
      <c r="AN282" s="61"/>
      <c r="AO282" s="61"/>
      <c r="AP282" s="198"/>
      <c r="AQ282" s="61"/>
    </row>
    <row r="283" spans="1:43" s="47" customFormat="1" ht="21" customHeight="1">
      <c r="A283" s="347" t="s">
        <v>381</v>
      </c>
      <c r="B283" s="268"/>
      <c r="C283" s="268"/>
      <c r="D283" s="348"/>
      <c r="E283" s="499"/>
      <c r="F283" s="530"/>
      <c r="G283" s="268"/>
      <c r="H283" s="267"/>
      <c r="I283" s="268"/>
      <c r="J283" s="268"/>
      <c r="K283" s="268"/>
      <c r="L283" s="268"/>
      <c r="M283" s="268"/>
      <c r="N283" s="268"/>
      <c r="O283" s="268"/>
      <c r="P283" s="268"/>
      <c r="Q283" s="268"/>
      <c r="R283" s="268"/>
      <c r="S283" s="268"/>
      <c r="T283" s="268"/>
      <c r="U283" s="268"/>
      <c r="V283" s="268"/>
      <c r="W283" s="268"/>
      <c r="X283" s="268"/>
      <c r="Y283" s="267"/>
      <c r="Z283" s="268"/>
      <c r="AA283" s="268"/>
      <c r="AB283" s="268"/>
      <c r="AC283" s="268"/>
      <c r="AD283" s="268"/>
      <c r="AE283" s="349"/>
      <c r="AF283" s="838"/>
      <c r="AG283" s="90"/>
      <c r="AH283" s="383"/>
      <c r="AI283" s="543"/>
      <c r="AJ283" s="548"/>
      <c r="AK283" s="549"/>
      <c r="AL283" s="198"/>
      <c r="AM283" s="320"/>
      <c r="AN283" s="61"/>
      <c r="AO283" s="61"/>
      <c r="AP283" s="198"/>
      <c r="AQ283" s="61"/>
    </row>
    <row r="284" spans="1:43" s="61" customFormat="1" ht="27.75" customHeight="1">
      <c r="A284" s="253">
        <v>1</v>
      </c>
      <c r="B284" s="254" t="s">
        <v>273</v>
      </c>
      <c r="C284" s="255" t="s">
        <v>274</v>
      </c>
      <c r="D284" s="278" t="str">
        <f>VLOOKUP(B284,Attendance!$B$6:$D$385,3,0)</f>
        <v>Deputy Regional Manager</v>
      </c>
      <c r="E284" s="278" t="s">
        <v>203</v>
      </c>
      <c r="F284" s="523">
        <v>44849</v>
      </c>
      <c r="G284" s="257">
        <f>VLOOKUP(B284,Attendance!$B$6:$G$386,6,0)</f>
        <v>31</v>
      </c>
      <c r="H284" s="258">
        <f>VLOOKUP(B$8:B$380,Attendance!$B$6:$L$386,11,0)</f>
        <v>0</v>
      </c>
      <c r="I284" s="257">
        <f t="shared" ref="I284:I306" si="286">G284-H284</f>
        <v>31</v>
      </c>
      <c r="J284" s="258">
        <f t="shared" ref="J284:J306" si="287">Q284/G284</f>
        <v>1693.5483870967741</v>
      </c>
      <c r="K284" s="58">
        <v>52500</v>
      </c>
      <c r="L284" s="72">
        <f t="shared" ref="L284:L306" si="288">K284*60%</f>
        <v>31500</v>
      </c>
      <c r="M284" s="72">
        <f t="shared" ref="M284:M306" si="289">K284*30%</f>
        <v>15750</v>
      </c>
      <c r="N284" s="72">
        <f t="shared" ref="N284:N306" si="290">K284*6%</f>
        <v>3150</v>
      </c>
      <c r="O284" s="72">
        <f t="shared" ref="O284:O306" si="291">K284*4%</f>
        <v>2100</v>
      </c>
      <c r="P284" s="259"/>
      <c r="Q284" s="260">
        <f t="shared" ref="Q284:Q306" si="292">SUM(L284:P284)</f>
        <v>52500</v>
      </c>
      <c r="R284" s="260">
        <f t="shared" ref="R284:R306" si="293">ROUND(I284*J284,)</f>
        <v>52500</v>
      </c>
      <c r="S284" s="261"/>
      <c r="T284" s="261"/>
      <c r="U284" s="809"/>
      <c r="V284" s="263">
        <f t="shared" ref="V284:V306" si="294">SUM(R284:U284)</f>
        <v>52500</v>
      </c>
      <c r="W284" s="72">
        <v>417</v>
      </c>
      <c r="X284" s="261">
        <f>IFERROR(VLOOKUP(B284,'Lunch bill'!$B$6:$H$30,7,0),0)</f>
        <v>0</v>
      </c>
      <c r="Y284" s="261">
        <f t="shared" ref="Y284:Y306" si="295">ROUND(IF($AH$4-F284&gt;=360,L284*5%,0),0)</f>
        <v>1575</v>
      </c>
      <c r="Z284" s="261">
        <f>IFERROR(VLOOKUP(B284,'55 Bike '!$B$7:$J$139,9,0),0)</f>
        <v>0</v>
      </c>
      <c r="AA284" s="261"/>
      <c r="AB284" s="73">
        <f t="shared" ref="AB284:AB306" si="296">SUM(W284:AA284)</f>
        <v>1992</v>
      </c>
      <c r="AC284" s="73">
        <f t="shared" ref="AC284:AC306" si="297">ROUND(V284-AB284,0)</f>
        <v>50508</v>
      </c>
      <c r="AD284" s="264" t="s">
        <v>23</v>
      </c>
      <c r="AE284" s="256" t="s">
        <v>275</v>
      </c>
      <c r="AF284" s="838"/>
      <c r="AG284" s="205"/>
      <c r="AH284" s="383"/>
      <c r="AI284" s="543"/>
      <c r="AJ284" s="548"/>
      <c r="AK284" s="548"/>
      <c r="AL284" s="198"/>
      <c r="AM284" s="320"/>
      <c r="AP284" s="198"/>
    </row>
    <row r="285" spans="1:43" s="47" customFormat="1" ht="24.95" customHeight="1">
      <c r="A285" s="253">
        <v>2</v>
      </c>
      <c r="B285" s="254" t="s">
        <v>276</v>
      </c>
      <c r="C285" s="255" t="s">
        <v>277</v>
      </c>
      <c r="D285" s="278" t="str">
        <f>VLOOKUP(B285,Attendance!$B$6:$D$385,3,0)</f>
        <v>Rgional Manager</v>
      </c>
      <c r="E285" s="278" t="s">
        <v>203</v>
      </c>
      <c r="F285" s="523">
        <v>44867</v>
      </c>
      <c r="G285" s="257">
        <f>VLOOKUP(B285,Attendance!$B$6:$G$386,6,0)</f>
        <v>31</v>
      </c>
      <c r="H285" s="258">
        <f>VLOOKUP(B$8:B$380,Attendance!$B$6:$L$386,11,0)</f>
        <v>0</v>
      </c>
      <c r="I285" s="257">
        <f t="shared" si="286"/>
        <v>31</v>
      </c>
      <c r="J285" s="258">
        <f t="shared" si="287"/>
        <v>2432.2580645161293</v>
      </c>
      <c r="K285" s="192">
        <v>75400</v>
      </c>
      <c r="L285" s="72">
        <f t="shared" si="288"/>
        <v>45240</v>
      </c>
      <c r="M285" s="72">
        <f t="shared" si="289"/>
        <v>22620</v>
      </c>
      <c r="N285" s="72">
        <f t="shared" si="290"/>
        <v>4524</v>
      </c>
      <c r="O285" s="72">
        <f t="shared" si="291"/>
        <v>3016</v>
      </c>
      <c r="P285" s="259"/>
      <c r="Q285" s="260">
        <f t="shared" si="292"/>
        <v>75400</v>
      </c>
      <c r="R285" s="260">
        <f t="shared" si="293"/>
        <v>75400</v>
      </c>
      <c r="S285" s="261"/>
      <c r="T285" s="261"/>
      <c r="U285" s="809"/>
      <c r="V285" s="263">
        <f t="shared" si="294"/>
        <v>75400</v>
      </c>
      <c r="W285" s="72">
        <v>623</v>
      </c>
      <c r="X285" s="261">
        <f>IFERROR(VLOOKUP(B285,'Lunch bill'!$B$6:$H$30,7,0),0)</f>
        <v>0</v>
      </c>
      <c r="Y285" s="261">
        <f t="shared" si="295"/>
        <v>2262</v>
      </c>
      <c r="Z285" s="261">
        <f>IFERROR(VLOOKUP(B285,'55 Bike '!$B$7:$J$139,9,0),0)</f>
        <v>0</v>
      </c>
      <c r="AA285" s="261"/>
      <c r="AB285" s="73">
        <f t="shared" si="296"/>
        <v>2885</v>
      </c>
      <c r="AC285" s="73">
        <f t="shared" si="297"/>
        <v>72515</v>
      </c>
      <c r="AD285" s="264" t="s">
        <v>23</v>
      </c>
      <c r="AE285" s="256" t="s">
        <v>278</v>
      </c>
      <c r="AF285" s="838"/>
      <c r="AG285" s="205"/>
      <c r="AH285" s="383"/>
      <c r="AI285" s="543"/>
      <c r="AJ285" s="548"/>
      <c r="AK285" s="548"/>
      <c r="AL285" s="198"/>
      <c r="AM285" s="320"/>
      <c r="AN285" s="61"/>
      <c r="AO285" s="61"/>
      <c r="AP285" s="198"/>
      <c r="AQ285" s="61"/>
    </row>
    <row r="286" spans="1:43" s="61" customFormat="1" ht="24.95" customHeight="1">
      <c r="A286" s="253">
        <v>3</v>
      </c>
      <c r="B286" s="254" t="s">
        <v>270</v>
      </c>
      <c r="C286" s="255" t="s">
        <v>271</v>
      </c>
      <c r="D286" s="278" t="str">
        <f>VLOOKUP(B286,Attendance!$B$6:$D$385,3,0)</f>
        <v>Sr. Territory Manager</v>
      </c>
      <c r="E286" s="278" t="s">
        <v>203</v>
      </c>
      <c r="F286" s="523">
        <v>44849</v>
      </c>
      <c r="G286" s="257">
        <f>VLOOKUP(B286,Attendance!$B$6:$G$386,6,0)</f>
        <v>31</v>
      </c>
      <c r="H286" s="258">
        <f>VLOOKUP(B$8:B$380,Attendance!$B$6:$L$386,11,0)</f>
        <v>0</v>
      </c>
      <c r="I286" s="257">
        <f t="shared" si="286"/>
        <v>31</v>
      </c>
      <c r="J286" s="258">
        <f t="shared" si="287"/>
        <v>1612.9032258064517</v>
      </c>
      <c r="K286" s="72">
        <v>50000</v>
      </c>
      <c r="L286" s="72">
        <f t="shared" si="288"/>
        <v>30000</v>
      </c>
      <c r="M286" s="72">
        <f t="shared" si="289"/>
        <v>15000</v>
      </c>
      <c r="N286" s="72">
        <f t="shared" si="290"/>
        <v>3000</v>
      </c>
      <c r="O286" s="72">
        <f t="shared" si="291"/>
        <v>2000</v>
      </c>
      <c r="P286" s="259"/>
      <c r="Q286" s="260">
        <f t="shared" si="292"/>
        <v>50000</v>
      </c>
      <c r="R286" s="260">
        <f t="shared" si="293"/>
        <v>50000</v>
      </c>
      <c r="S286" s="261"/>
      <c r="T286" s="261"/>
      <c r="U286" s="263"/>
      <c r="V286" s="263">
        <f t="shared" si="294"/>
        <v>50000</v>
      </c>
      <c r="W286" s="72">
        <v>455</v>
      </c>
      <c r="X286" s="261">
        <f>IFERROR(VLOOKUP(B286,'Lunch bill'!$B$6:$H$30,7,0),0)</f>
        <v>0</v>
      </c>
      <c r="Y286" s="261">
        <f t="shared" si="295"/>
        <v>1500</v>
      </c>
      <c r="Z286" s="261">
        <f>IFERROR(VLOOKUP(B286,'55 Bike '!$B$7:$J$139,9,0),0)</f>
        <v>1058</v>
      </c>
      <c r="AA286" s="261"/>
      <c r="AB286" s="73">
        <f t="shared" si="296"/>
        <v>3013</v>
      </c>
      <c r="AC286" s="73">
        <f t="shared" si="297"/>
        <v>46987</v>
      </c>
      <c r="AD286" s="264" t="s">
        <v>23</v>
      </c>
      <c r="AE286" s="256" t="s">
        <v>272</v>
      </c>
      <c r="AF286" s="838"/>
      <c r="AG286" s="205"/>
      <c r="AH286" s="383"/>
      <c r="AI286" s="543"/>
      <c r="AJ286" s="548"/>
      <c r="AK286" s="548"/>
      <c r="AL286" s="198"/>
      <c r="AM286" s="320"/>
      <c r="AP286" s="198"/>
    </row>
    <row r="287" spans="1:43" s="47" customFormat="1" ht="24.95" customHeight="1">
      <c r="A287" s="253">
        <v>4</v>
      </c>
      <c r="B287" s="254" t="s">
        <v>287</v>
      </c>
      <c r="C287" s="255" t="s">
        <v>288</v>
      </c>
      <c r="D287" s="278" t="str">
        <f>VLOOKUP(B287,Attendance!$B$6:$D$385,3,0)</f>
        <v>TSO</v>
      </c>
      <c r="E287" s="278" t="s">
        <v>203</v>
      </c>
      <c r="F287" s="523">
        <v>44880</v>
      </c>
      <c r="G287" s="257">
        <f>VLOOKUP(B287,Attendance!$B$6:$G$386,6,0)</f>
        <v>31</v>
      </c>
      <c r="H287" s="258">
        <f>VLOOKUP(B$8:B$380,Attendance!$B$6:$L$386,11,0)</f>
        <v>0</v>
      </c>
      <c r="I287" s="257">
        <f t="shared" si="286"/>
        <v>31</v>
      </c>
      <c r="J287" s="258">
        <f t="shared" si="287"/>
        <v>725.80645161290317</v>
      </c>
      <c r="K287" s="72">
        <v>22500</v>
      </c>
      <c r="L287" s="72">
        <f t="shared" si="288"/>
        <v>13500</v>
      </c>
      <c r="M287" s="72">
        <f t="shared" si="289"/>
        <v>6750</v>
      </c>
      <c r="N287" s="72">
        <f t="shared" si="290"/>
        <v>1350</v>
      </c>
      <c r="O287" s="72">
        <f t="shared" si="291"/>
        <v>900</v>
      </c>
      <c r="P287" s="259"/>
      <c r="Q287" s="260">
        <f t="shared" si="292"/>
        <v>22500</v>
      </c>
      <c r="R287" s="260">
        <f t="shared" si="293"/>
        <v>22500</v>
      </c>
      <c r="S287" s="261"/>
      <c r="T287" s="261"/>
      <c r="U287" s="263"/>
      <c r="V287" s="263">
        <f t="shared" si="294"/>
        <v>22500</v>
      </c>
      <c r="W287" s="72"/>
      <c r="X287" s="261">
        <f>IFERROR(VLOOKUP(B287,'Lunch bill'!$B$6:$H$30,7,0),0)</f>
        <v>0</v>
      </c>
      <c r="Y287" s="261">
        <f t="shared" si="295"/>
        <v>675</v>
      </c>
      <c r="Z287" s="261">
        <f>IFERROR(VLOOKUP(B287,'55 Bike '!$B$7:$J$139,9,0),0)</f>
        <v>1058</v>
      </c>
      <c r="AA287" s="261"/>
      <c r="AB287" s="73">
        <f t="shared" si="296"/>
        <v>1733</v>
      </c>
      <c r="AC287" s="73">
        <f t="shared" si="297"/>
        <v>20767</v>
      </c>
      <c r="AD287" s="264" t="s">
        <v>23</v>
      </c>
      <c r="AE287" s="256" t="s">
        <v>289</v>
      </c>
      <c r="AF287" s="838"/>
      <c r="AG287" s="205"/>
      <c r="AH287" s="383"/>
      <c r="AI287" s="543"/>
      <c r="AJ287" s="548"/>
      <c r="AK287" s="548"/>
      <c r="AL287" s="198"/>
      <c r="AM287" s="320"/>
      <c r="AN287" s="61"/>
      <c r="AO287" s="61"/>
      <c r="AP287" s="198"/>
      <c r="AQ287" s="61"/>
    </row>
    <row r="288" spans="1:43" s="47" customFormat="1" ht="33">
      <c r="A288" s="253">
        <v>5</v>
      </c>
      <c r="B288" s="254" t="s">
        <v>550</v>
      </c>
      <c r="C288" s="255" t="s">
        <v>551</v>
      </c>
      <c r="D288" s="278" t="str">
        <f>VLOOKUP(B288,Attendance!$B$6:$D$385,3,0)</f>
        <v>Asst. Territory Manager</v>
      </c>
      <c r="E288" s="278" t="s">
        <v>203</v>
      </c>
      <c r="F288" s="523">
        <v>44964</v>
      </c>
      <c r="G288" s="257">
        <f>VLOOKUP(B288,Attendance!$B$6:$G$386,6,0)</f>
        <v>31</v>
      </c>
      <c r="H288" s="258">
        <f>VLOOKUP(B$8:B$380,Attendance!$B$6:$L$386,11,0)</f>
        <v>0</v>
      </c>
      <c r="I288" s="257">
        <f t="shared" si="286"/>
        <v>31</v>
      </c>
      <c r="J288" s="258">
        <f t="shared" si="287"/>
        <v>1145.1612903225807</v>
      </c>
      <c r="K288" s="192">
        <v>35500</v>
      </c>
      <c r="L288" s="72">
        <f t="shared" si="288"/>
        <v>21300</v>
      </c>
      <c r="M288" s="72">
        <f t="shared" si="289"/>
        <v>10650</v>
      </c>
      <c r="N288" s="72">
        <f t="shared" si="290"/>
        <v>2130</v>
      </c>
      <c r="O288" s="72">
        <f t="shared" si="291"/>
        <v>1420</v>
      </c>
      <c r="P288" s="259"/>
      <c r="Q288" s="260">
        <f t="shared" si="292"/>
        <v>35500</v>
      </c>
      <c r="R288" s="260">
        <f t="shared" si="293"/>
        <v>35500</v>
      </c>
      <c r="S288" s="261"/>
      <c r="T288" s="261"/>
      <c r="U288" s="809"/>
      <c r="V288" s="263">
        <f t="shared" si="294"/>
        <v>35500</v>
      </c>
      <c r="W288" s="72"/>
      <c r="X288" s="261">
        <f>IFERROR(VLOOKUP(B288,'Lunch bill'!$B$6:$H$30,7,0),0)</f>
        <v>0</v>
      </c>
      <c r="Y288" s="261">
        <f t="shared" si="295"/>
        <v>1065</v>
      </c>
      <c r="Z288" s="261">
        <f>IFERROR(VLOOKUP(B288,'55 Bike '!$B$7:$J$139,9,0),0)</f>
        <v>6236</v>
      </c>
      <c r="AA288" s="261"/>
      <c r="AB288" s="73">
        <f t="shared" si="296"/>
        <v>7301</v>
      </c>
      <c r="AC288" s="73">
        <f t="shared" si="297"/>
        <v>28199</v>
      </c>
      <c r="AD288" s="264" t="s">
        <v>23</v>
      </c>
      <c r="AE288" s="256" t="s">
        <v>571</v>
      </c>
      <c r="AF288" s="838"/>
      <c r="AG288" s="205"/>
      <c r="AH288" s="383"/>
      <c r="AI288" s="543"/>
      <c r="AJ288" s="548"/>
      <c r="AK288" s="548"/>
      <c r="AL288" s="198"/>
      <c r="AM288" s="320"/>
      <c r="AN288" s="61"/>
      <c r="AO288" s="61"/>
      <c r="AP288" s="198"/>
      <c r="AQ288" s="61"/>
    </row>
    <row r="289" spans="1:43" s="47" customFormat="1" ht="30.75" customHeight="1">
      <c r="A289" s="253">
        <v>6</v>
      </c>
      <c r="B289" s="254" t="s">
        <v>553</v>
      </c>
      <c r="C289" s="255" t="s">
        <v>554</v>
      </c>
      <c r="D289" s="278" t="str">
        <f>VLOOKUP(B289,Attendance!$B$6:$D$385,3,0)</f>
        <v>Regional Manager</v>
      </c>
      <c r="E289" s="278" t="s">
        <v>203</v>
      </c>
      <c r="F289" s="523">
        <v>44964</v>
      </c>
      <c r="G289" s="257">
        <f>VLOOKUP(B289,Attendance!$B$6:$G$386,6,0)</f>
        <v>31</v>
      </c>
      <c r="H289" s="258">
        <f>VLOOKUP(B$8:B$380,Attendance!$B$6:$L$386,11,0)</f>
        <v>0</v>
      </c>
      <c r="I289" s="257">
        <f t="shared" si="286"/>
        <v>31</v>
      </c>
      <c r="J289" s="258">
        <f t="shared" si="287"/>
        <v>1790.3225806451612</v>
      </c>
      <c r="K289" s="192">
        <v>55500</v>
      </c>
      <c r="L289" s="72">
        <f t="shared" si="288"/>
        <v>33300</v>
      </c>
      <c r="M289" s="72">
        <f t="shared" si="289"/>
        <v>16650</v>
      </c>
      <c r="N289" s="72">
        <f t="shared" si="290"/>
        <v>3330</v>
      </c>
      <c r="O289" s="72">
        <f t="shared" si="291"/>
        <v>2220</v>
      </c>
      <c r="P289" s="259"/>
      <c r="Q289" s="260">
        <f t="shared" si="292"/>
        <v>55500</v>
      </c>
      <c r="R289" s="260">
        <f t="shared" si="293"/>
        <v>55500</v>
      </c>
      <c r="S289" s="261"/>
      <c r="T289" s="261"/>
      <c r="U289" s="809"/>
      <c r="V289" s="263">
        <f t="shared" si="294"/>
        <v>55500</v>
      </c>
      <c r="W289" s="72">
        <v>417</v>
      </c>
      <c r="X289" s="261">
        <f>IFERROR(VLOOKUP(B289,'Lunch bill'!$B$6:$H$30,7,0),0)</f>
        <v>0</v>
      </c>
      <c r="Y289" s="261">
        <f t="shared" si="295"/>
        <v>1665</v>
      </c>
      <c r="Z289" s="261">
        <f>IFERROR(VLOOKUP(B289,'55 Bike '!$B$7:$J$139,9,0),0)</f>
        <v>0</v>
      </c>
      <c r="AA289" s="261"/>
      <c r="AB289" s="73">
        <f t="shared" si="296"/>
        <v>2082</v>
      </c>
      <c r="AC289" s="73">
        <f t="shared" si="297"/>
        <v>53418</v>
      </c>
      <c r="AD289" s="264" t="s">
        <v>23</v>
      </c>
      <c r="AE289" s="256" t="s">
        <v>597</v>
      </c>
      <c r="AF289" s="838"/>
      <c r="AG289" s="205"/>
      <c r="AH289" s="383"/>
      <c r="AI289" s="543"/>
      <c r="AJ289" s="548"/>
      <c r="AK289" s="548"/>
      <c r="AL289" s="198"/>
      <c r="AM289" s="320"/>
      <c r="AN289" s="61"/>
      <c r="AO289" s="61"/>
      <c r="AP289" s="198"/>
      <c r="AQ289" s="61"/>
    </row>
    <row r="290" spans="1:43" s="47" customFormat="1" ht="30.75" customHeight="1">
      <c r="A290" s="253">
        <v>7</v>
      </c>
      <c r="B290" s="254" t="s">
        <v>556</v>
      </c>
      <c r="C290" s="255" t="s">
        <v>557</v>
      </c>
      <c r="D290" s="278" t="str">
        <f>VLOOKUP(B290,Attendance!$B$6:$D$385,3,0)</f>
        <v>STSO</v>
      </c>
      <c r="E290" s="278" t="s">
        <v>203</v>
      </c>
      <c r="F290" s="523">
        <v>44965</v>
      </c>
      <c r="G290" s="257">
        <f>VLOOKUP(B290,Attendance!$B$6:$G$386,6,0)</f>
        <v>31</v>
      </c>
      <c r="H290" s="258">
        <f>VLOOKUP(B$8:B$380,Attendance!$B$6:$L$386,11,0)</f>
        <v>0</v>
      </c>
      <c r="I290" s="257">
        <f t="shared" si="286"/>
        <v>31</v>
      </c>
      <c r="J290" s="258">
        <f t="shared" si="287"/>
        <v>1038.7096774193549</v>
      </c>
      <c r="K290" s="192">
        <v>32200</v>
      </c>
      <c r="L290" s="72">
        <f t="shared" si="288"/>
        <v>19320</v>
      </c>
      <c r="M290" s="72">
        <f t="shared" si="289"/>
        <v>9660</v>
      </c>
      <c r="N290" s="72">
        <f t="shared" si="290"/>
        <v>1932</v>
      </c>
      <c r="O290" s="72">
        <f t="shared" si="291"/>
        <v>1288</v>
      </c>
      <c r="P290" s="259"/>
      <c r="Q290" s="260">
        <f t="shared" si="292"/>
        <v>32200</v>
      </c>
      <c r="R290" s="260">
        <f t="shared" si="293"/>
        <v>32200</v>
      </c>
      <c r="S290" s="261"/>
      <c r="T290" s="261"/>
      <c r="U290" s="809"/>
      <c r="V290" s="263">
        <f t="shared" si="294"/>
        <v>32200</v>
      </c>
      <c r="W290" s="72"/>
      <c r="X290" s="261">
        <f>IFERROR(VLOOKUP(B290,'Lunch bill'!$B$6:$H$30,7,0),0)</f>
        <v>0</v>
      </c>
      <c r="Y290" s="261">
        <f t="shared" si="295"/>
        <v>966</v>
      </c>
      <c r="Z290" s="261">
        <f>IFERROR(VLOOKUP(B290,'55 Bike '!$B$7:$J$139,9,0),0)</f>
        <v>842</v>
      </c>
      <c r="AA290" s="261"/>
      <c r="AB290" s="73">
        <f t="shared" si="296"/>
        <v>1808</v>
      </c>
      <c r="AC290" s="73">
        <f t="shared" si="297"/>
        <v>30392</v>
      </c>
      <c r="AD290" s="264" t="s">
        <v>23</v>
      </c>
      <c r="AE290" s="256" t="s">
        <v>568</v>
      </c>
      <c r="AF290" s="838"/>
      <c r="AG290" s="205"/>
      <c r="AH290" s="383"/>
      <c r="AI290" s="543"/>
      <c r="AJ290" s="548"/>
      <c r="AK290" s="548"/>
      <c r="AL290" s="198"/>
      <c r="AM290" s="320"/>
      <c r="AN290" s="61"/>
      <c r="AO290" s="61"/>
      <c r="AP290" s="198"/>
      <c r="AQ290" s="61"/>
    </row>
    <row r="291" spans="1:43" s="47" customFormat="1" ht="30.75" customHeight="1">
      <c r="A291" s="253">
        <v>8</v>
      </c>
      <c r="B291" s="254" t="s">
        <v>591</v>
      </c>
      <c r="C291" s="255" t="s">
        <v>592</v>
      </c>
      <c r="D291" s="278" t="str">
        <f>VLOOKUP(B291,Attendance!$B$6:$D$385,3,0)</f>
        <v>ATSO</v>
      </c>
      <c r="E291" s="278" t="s">
        <v>203</v>
      </c>
      <c r="F291" s="523">
        <v>44986</v>
      </c>
      <c r="G291" s="257">
        <f>VLOOKUP(B291,Attendance!$B$6:$G$386,6,0)</f>
        <v>31</v>
      </c>
      <c r="H291" s="258">
        <f>VLOOKUP(B$8:B$380,Attendance!$B$6:$L$386,11,0)</f>
        <v>0</v>
      </c>
      <c r="I291" s="257">
        <f t="shared" si="286"/>
        <v>31</v>
      </c>
      <c r="J291" s="258">
        <f t="shared" si="287"/>
        <v>754.83870967741939</v>
      </c>
      <c r="K291" s="192">
        <v>23400</v>
      </c>
      <c r="L291" s="72">
        <f t="shared" si="288"/>
        <v>14040</v>
      </c>
      <c r="M291" s="72">
        <f t="shared" si="289"/>
        <v>7020</v>
      </c>
      <c r="N291" s="72">
        <f t="shared" si="290"/>
        <v>1404</v>
      </c>
      <c r="O291" s="72">
        <f t="shared" si="291"/>
        <v>936</v>
      </c>
      <c r="P291" s="259"/>
      <c r="Q291" s="260">
        <f t="shared" si="292"/>
        <v>23400</v>
      </c>
      <c r="R291" s="260">
        <f t="shared" si="293"/>
        <v>23400</v>
      </c>
      <c r="S291" s="261"/>
      <c r="T291" s="261"/>
      <c r="U291" s="809"/>
      <c r="V291" s="263">
        <f t="shared" si="294"/>
        <v>23400</v>
      </c>
      <c r="W291" s="72"/>
      <c r="X291" s="261">
        <f>IFERROR(VLOOKUP(B291,'Lunch bill'!$B$6:$H$30,7,0),0)</f>
        <v>0</v>
      </c>
      <c r="Y291" s="261">
        <f t="shared" si="295"/>
        <v>702</v>
      </c>
      <c r="Z291" s="261">
        <f>IFERROR(VLOOKUP(B291,'55 Bike '!$B$7:$J$139,9,0),0)</f>
        <v>2160</v>
      </c>
      <c r="AA291" s="261"/>
      <c r="AB291" s="73">
        <f t="shared" si="296"/>
        <v>2862</v>
      </c>
      <c r="AC291" s="73">
        <f t="shared" si="297"/>
        <v>20538</v>
      </c>
      <c r="AD291" s="264" t="s">
        <v>23</v>
      </c>
      <c r="AE291" s="256" t="s">
        <v>603</v>
      </c>
      <c r="AF291" s="838"/>
      <c r="AG291" s="205"/>
      <c r="AH291" s="383"/>
      <c r="AI291" s="543"/>
      <c r="AJ291" s="548"/>
      <c r="AK291" s="548"/>
      <c r="AL291" s="198"/>
      <c r="AM291" s="320"/>
      <c r="AN291" s="61"/>
      <c r="AO291" s="61"/>
      <c r="AP291" s="198"/>
      <c r="AQ291" s="61"/>
    </row>
    <row r="292" spans="1:43" s="47" customFormat="1" ht="24.95" customHeight="1">
      <c r="A292" s="253">
        <v>9</v>
      </c>
      <c r="B292" s="254" t="s">
        <v>593</v>
      </c>
      <c r="C292" s="255" t="s">
        <v>594</v>
      </c>
      <c r="D292" s="278" t="str">
        <f>VLOOKUP(B292,Attendance!$B$6:$D$385,3,0)</f>
        <v>TSO</v>
      </c>
      <c r="E292" s="278" t="s">
        <v>203</v>
      </c>
      <c r="F292" s="523">
        <v>44986</v>
      </c>
      <c r="G292" s="257">
        <f>VLOOKUP(B292,Attendance!$B$6:$G$386,6,0)</f>
        <v>31</v>
      </c>
      <c r="H292" s="258">
        <f>VLOOKUP(B$8:B$380,Attendance!$B$6:$L$386,11,0)</f>
        <v>0</v>
      </c>
      <c r="I292" s="257">
        <f t="shared" si="286"/>
        <v>31</v>
      </c>
      <c r="J292" s="258">
        <f t="shared" si="287"/>
        <v>709.67741935483866</v>
      </c>
      <c r="K292" s="72">
        <v>22000</v>
      </c>
      <c r="L292" s="72">
        <f t="shared" si="288"/>
        <v>13200</v>
      </c>
      <c r="M292" s="72">
        <f t="shared" si="289"/>
        <v>6600</v>
      </c>
      <c r="N292" s="72">
        <f t="shared" si="290"/>
        <v>1320</v>
      </c>
      <c r="O292" s="72">
        <f t="shared" si="291"/>
        <v>880</v>
      </c>
      <c r="P292" s="259"/>
      <c r="Q292" s="260">
        <f t="shared" si="292"/>
        <v>22000</v>
      </c>
      <c r="R292" s="260">
        <f t="shared" si="293"/>
        <v>22000</v>
      </c>
      <c r="S292" s="261"/>
      <c r="T292" s="261"/>
      <c r="U292" s="263"/>
      <c r="V292" s="263">
        <f t="shared" si="294"/>
        <v>22000</v>
      </c>
      <c r="W292" s="72"/>
      <c r="X292" s="261">
        <f>IFERROR(VLOOKUP(B292,'Lunch bill'!$B$6:$H$30,7,0),0)</f>
        <v>0</v>
      </c>
      <c r="Y292" s="261">
        <f t="shared" si="295"/>
        <v>660</v>
      </c>
      <c r="Z292" s="261">
        <f>IFERROR(VLOOKUP(B292,'55 Bike '!$B$7:$J$139,9,0),0)</f>
        <v>0</v>
      </c>
      <c r="AA292" s="261"/>
      <c r="AB292" s="73">
        <f t="shared" si="296"/>
        <v>660</v>
      </c>
      <c r="AC292" s="73">
        <f t="shared" si="297"/>
        <v>21340</v>
      </c>
      <c r="AD292" s="264" t="s">
        <v>23</v>
      </c>
      <c r="AE292" s="256" t="s">
        <v>1248</v>
      </c>
      <c r="AF292" s="838"/>
      <c r="AG292" s="205"/>
      <c r="AH292" s="383"/>
      <c r="AI292" s="543"/>
      <c r="AJ292" s="548"/>
      <c r="AK292" s="548"/>
      <c r="AL292" s="198"/>
      <c r="AM292" s="320"/>
      <c r="AN292" s="61"/>
      <c r="AO292" s="61"/>
      <c r="AP292" s="198"/>
      <c r="AQ292" s="61"/>
    </row>
    <row r="293" spans="1:43" s="47" customFormat="1" ht="33">
      <c r="A293" s="253">
        <v>10</v>
      </c>
      <c r="B293" s="254" t="s">
        <v>619</v>
      </c>
      <c r="C293" s="255" t="s">
        <v>620</v>
      </c>
      <c r="D293" s="278" t="str">
        <f>VLOOKUP(B293,Attendance!$B$6:$D$385,3,0)</f>
        <v>Sr. Territory Sales officer</v>
      </c>
      <c r="E293" s="278" t="s">
        <v>203</v>
      </c>
      <c r="F293" s="523">
        <v>45042</v>
      </c>
      <c r="G293" s="257">
        <f>VLOOKUP(B293,Attendance!$B$6:$G$386,6,0)</f>
        <v>31</v>
      </c>
      <c r="H293" s="258">
        <f>VLOOKUP(B$8:B$380,Attendance!$B$6:$L$386,11,0)</f>
        <v>0</v>
      </c>
      <c r="I293" s="257">
        <f t="shared" si="286"/>
        <v>31</v>
      </c>
      <c r="J293" s="258">
        <f t="shared" si="287"/>
        <v>893.54838709677415</v>
      </c>
      <c r="K293" s="192">
        <v>27700</v>
      </c>
      <c r="L293" s="72">
        <f t="shared" si="288"/>
        <v>16620</v>
      </c>
      <c r="M293" s="72">
        <f t="shared" si="289"/>
        <v>8310</v>
      </c>
      <c r="N293" s="72">
        <f t="shared" si="290"/>
        <v>1662</v>
      </c>
      <c r="O293" s="72">
        <f t="shared" si="291"/>
        <v>1108</v>
      </c>
      <c r="P293" s="259"/>
      <c r="Q293" s="260">
        <f t="shared" si="292"/>
        <v>27700</v>
      </c>
      <c r="R293" s="260">
        <f t="shared" si="293"/>
        <v>27700</v>
      </c>
      <c r="S293" s="261"/>
      <c r="T293" s="261"/>
      <c r="U293" s="809"/>
      <c r="V293" s="263">
        <f t="shared" si="294"/>
        <v>27700</v>
      </c>
      <c r="W293" s="72"/>
      <c r="X293" s="261">
        <f>IFERROR(VLOOKUP(B293,'Lunch bill'!$B$6:$H$30,7,0),0)</f>
        <v>0</v>
      </c>
      <c r="Y293" s="261">
        <f t="shared" si="295"/>
        <v>831</v>
      </c>
      <c r="Z293" s="261">
        <f>IFERROR(VLOOKUP(B293,'55 Bike '!$B$7:$J$139,9,0),0)</f>
        <v>0</v>
      </c>
      <c r="AA293" s="261"/>
      <c r="AB293" s="73">
        <f t="shared" si="296"/>
        <v>831</v>
      </c>
      <c r="AC293" s="73">
        <f t="shared" si="297"/>
        <v>26869</v>
      </c>
      <c r="AD293" s="264" t="s">
        <v>23</v>
      </c>
      <c r="AE293" s="256" t="s">
        <v>676</v>
      </c>
      <c r="AF293" s="838"/>
      <c r="AG293" s="205"/>
      <c r="AH293" s="383"/>
      <c r="AI293" s="543"/>
      <c r="AJ293" s="548"/>
      <c r="AK293" s="548"/>
      <c r="AL293" s="198"/>
      <c r="AM293" s="320"/>
      <c r="AN293" s="61"/>
      <c r="AO293" s="61"/>
      <c r="AP293" s="198"/>
      <c r="AQ293" s="61"/>
    </row>
    <row r="294" spans="1:43" s="47" customFormat="1" ht="24.95" customHeight="1">
      <c r="A294" s="253">
        <v>11</v>
      </c>
      <c r="B294" s="254" t="s">
        <v>639</v>
      </c>
      <c r="C294" s="255" t="s">
        <v>182</v>
      </c>
      <c r="D294" s="278" t="str">
        <f>VLOOKUP(B294,Attendance!$B$6:$D$385,3,0)</f>
        <v>STSO</v>
      </c>
      <c r="E294" s="278" t="s">
        <v>203</v>
      </c>
      <c r="F294" s="523">
        <v>45048</v>
      </c>
      <c r="G294" s="257">
        <f>VLOOKUP(B294,Attendance!$B$6:$G$386,6,0)</f>
        <v>31</v>
      </c>
      <c r="H294" s="258">
        <f>VLOOKUP(B$8:B$380,Attendance!$B$6:$L$386,11,0)</f>
        <v>0</v>
      </c>
      <c r="I294" s="257">
        <f t="shared" si="286"/>
        <v>31</v>
      </c>
      <c r="J294" s="258">
        <f t="shared" si="287"/>
        <v>838.70967741935488</v>
      </c>
      <c r="K294" s="192">
        <v>26000</v>
      </c>
      <c r="L294" s="72">
        <f t="shared" si="288"/>
        <v>15600</v>
      </c>
      <c r="M294" s="72">
        <f t="shared" si="289"/>
        <v>7800</v>
      </c>
      <c r="N294" s="72">
        <f t="shared" si="290"/>
        <v>1560</v>
      </c>
      <c r="O294" s="72">
        <f t="shared" si="291"/>
        <v>1040</v>
      </c>
      <c r="P294" s="259"/>
      <c r="Q294" s="260">
        <f t="shared" si="292"/>
        <v>26000</v>
      </c>
      <c r="R294" s="260">
        <f t="shared" si="293"/>
        <v>26000</v>
      </c>
      <c r="S294" s="261"/>
      <c r="T294" s="261"/>
      <c r="U294" s="809"/>
      <c r="V294" s="263">
        <f t="shared" si="294"/>
        <v>26000</v>
      </c>
      <c r="W294" s="72"/>
      <c r="X294" s="261">
        <f>IFERROR(VLOOKUP(B294,'Lunch bill'!$B$6:$H$30,7,0),0)</f>
        <v>0</v>
      </c>
      <c r="Y294" s="261">
        <f t="shared" si="295"/>
        <v>780</v>
      </c>
      <c r="Z294" s="261">
        <f>IFERROR(VLOOKUP(B294,'55 Bike '!$B$7:$J$139,9,0),0)</f>
        <v>1058</v>
      </c>
      <c r="AA294" s="261"/>
      <c r="AB294" s="73">
        <f t="shared" si="296"/>
        <v>1838</v>
      </c>
      <c r="AC294" s="73">
        <f t="shared" si="297"/>
        <v>24162</v>
      </c>
      <c r="AD294" s="264" t="s">
        <v>23</v>
      </c>
      <c r="AE294" s="256" t="s">
        <v>675</v>
      </c>
      <c r="AF294" s="838"/>
      <c r="AG294" s="205"/>
      <c r="AH294" s="383"/>
      <c r="AI294" s="543"/>
      <c r="AJ294" s="548"/>
      <c r="AK294" s="548"/>
      <c r="AL294" s="198"/>
      <c r="AM294" s="320"/>
      <c r="AN294" s="61"/>
      <c r="AO294" s="61"/>
      <c r="AP294" s="198"/>
      <c r="AQ294" s="61"/>
    </row>
    <row r="295" spans="1:43" s="47" customFormat="1" ht="24.95" customHeight="1">
      <c r="A295" s="253">
        <v>12</v>
      </c>
      <c r="B295" s="254" t="s">
        <v>648</v>
      </c>
      <c r="C295" s="255" t="s">
        <v>649</v>
      </c>
      <c r="D295" s="278" t="str">
        <f>VLOOKUP(B295,Attendance!$B$6:$D$385,3,0)</f>
        <v>ATM</v>
      </c>
      <c r="E295" s="278" t="s">
        <v>203</v>
      </c>
      <c r="F295" s="523">
        <v>45052</v>
      </c>
      <c r="G295" s="257">
        <f>VLOOKUP(B295,Attendance!$B$6:$G$386,6,0)</f>
        <v>31</v>
      </c>
      <c r="H295" s="258">
        <f>VLOOKUP(B$8:B$380,Attendance!$B$6:$L$386,11,0)</f>
        <v>0</v>
      </c>
      <c r="I295" s="257">
        <f t="shared" si="286"/>
        <v>31</v>
      </c>
      <c r="J295" s="258">
        <f t="shared" si="287"/>
        <v>935.48387096774195</v>
      </c>
      <c r="K295" s="192">
        <v>29000</v>
      </c>
      <c r="L295" s="72">
        <f t="shared" si="288"/>
        <v>17400</v>
      </c>
      <c r="M295" s="72">
        <f t="shared" si="289"/>
        <v>8700</v>
      </c>
      <c r="N295" s="72">
        <f t="shared" si="290"/>
        <v>1740</v>
      </c>
      <c r="O295" s="72">
        <f t="shared" si="291"/>
        <v>1160</v>
      </c>
      <c r="P295" s="259"/>
      <c r="Q295" s="260">
        <f t="shared" si="292"/>
        <v>29000</v>
      </c>
      <c r="R295" s="260">
        <f t="shared" si="293"/>
        <v>29000</v>
      </c>
      <c r="S295" s="261"/>
      <c r="T295" s="261"/>
      <c r="U295" s="809"/>
      <c r="V295" s="263">
        <f t="shared" si="294"/>
        <v>29000</v>
      </c>
      <c r="W295" s="72"/>
      <c r="X295" s="261">
        <f>IFERROR(VLOOKUP(B295,'Lunch bill'!$B$6:$H$30,7,0),0)</f>
        <v>0</v>
      </c>
      <c r="Y295" s="261">
        <f t="shared" si="295"/>
        <v>870</v>
      </c>
      <c r="Z295" s="261">
        <f>IFERROR(VLOOKUP(B295,'55 Bike '!$B$7:$J$139,9,0),0)</f>
        <v>0</v>
      </c>
      <c r="AA295" s="261"/>
      <c r="AB295" s="73">
        <f t="shared" si="296"/>
        <v>870</v>
      </c>
      <c r="AC295" s="73">
        <f t="shared" si="297"/>
        <v>28130</v>
      </c>
      <c r="AD295" s="264" t="s">
        <v>23</v>
      </c>
      <c r="AE295" s="256" t="s">
        <v>674</v>
      </c>
      <c r="AF295" s="838"/>
      <c r="AG295" s="205"/>
      <c r="AH295" s="383"/>
      <c r="AI295" s="543"/>
      <c r="AJ295" s="548"/>
      <c r="AK295" s="548"/>
      <c r="AL295" s="198"/>
      <c r="AM295" s="320"/>
      <c r="AN295" s="61"/>
      <c r="AO295" s="61"/>
      <c r="AP295" s="198"/>
      <c r="AQ295" s="61"/>
    </row>
    <row r="296" spans="1:43" s="47" customFormat="1" ht="24.95" customHeight="1">
      <c r="A296" s="253">
        <v>13</v>
      </c>
      <c r="B296" s="254" t="s">
        <v>883</v>
      </c>
      <c r="C296" s="255" t="s">
        <v>884</v>
      </c>
      <c r="D296" s="278" t="str">
        <f>VLOOKUP(B296,Attendance!$B$6:$D$385,3,0)</f>
        <v>Zonal Manager</v>
      </c>
      <c r="E296" s="278" t="s">
        <v>203</v>
      </c>
      <c r="F296" s="523">
        <v>45171</v>
      </c>
      <c r="G296" s="257">
        <f>VLOOKUP(B296,Attendance!$B$6:$G$386,6,0)</f>
        <v>31</v>
      </c>
      <c r="H296" s="258">
        <f>VLOOKUP(B$8:B$380,Attendance!$B$6:$L$386,11,0)</f>
        <v>0</v>
      </c>
      <c r="I296" s="257">
        <f t="shared" si="286"/>
        <v>31</v>
      </c>
      <c r="J296" s="258">
        <f t="shared" si="287"/>
        <v>2064.516129032258</v>
      </c>
      <c r="K296" s="192">
        <v>64000</v>
      </c>
      <c r="L296" s="72">
        <f t="shared" si="288"/>
        <v>38400</v>
      </c>
      <c r="M296" s="72">
        <f t="shared" si="289"/>
        <v>19200</v>
      </c>
      <c r="N296" s="72">
        <f t="shared" si="290"/>
        <v>3840</v>
      </c>
      <c r="O296" s="72">
        <f t="shared" si="291"/>
        <v>2560</v>
      </c>
      <c r="P296" s="259"/>
      <c r="Q296" s="260">
        <f t="shared" si="292"/>
        <v>64000</v>
      </c>
      <c r="R296" s="260">
        <f t="shared" si="293"/>
        <v>64000</v>
      </c>
      <c r="S296" s="261"/>
      <c r="T296" s="261"/>
      <c r="U296" s="809"/>
      <c r="V296" s="263">
        <f t="shared" si="294"/>
        <v>64000</v>
      </c>
      <c r="W296" s="72">
        <v>417</v>
      </c>
      <c r="X296" s="261">
        <f>IFERROR(VLOOKUP(B296,'Lunch bill'!$B$6:$H$30,7,0),0)</f>
        <v>0</v>
      </c>
      <c r="Y296" s="261">
        <f t="shared" si="295"/>
        <v>1920</v>
      </c>
      <c r="Z296" s="261">
        <f>IFERROR(VLOOKUP(B296,'55 Bike '!$B$7:$J$139,9,0),0)</f>
        <v>2861</v>
      </c>
      <c r="AA296" s="261"/>
      <c r="AB296" s="73">
        <f t="shared" si="296"/>
        <v>5198</v>
      </c>
      <c r="AC296" s="73">
        <f t="shared" si="297"/>
        <v>58802</v>
      </c>
      <c r="AD296" s="264" t="s">
        <v>23</v>
      </c>
      <c r="AE296" s="256" t="s">
        <v>934</v>
      </c>
      <c r="AF296" s="838"/>
      <c r="AG296" s="205"/>
      <c r="AH296" s="383"/>
      <c r="AI296" s="543"/>
      <c r="AJ296" s="548"/>
      <c r="AK296" s="548"/>
      <c r="AL296" s="198"/>
      <c r="AM296" s="320"/>
      <c r="AN296" s="61"/>
      <c r="AO296" s="61"/>
      <c r="AP296" s="198"/>
      <c r="AQ296" s="61"/>
    </row>
    <row r="297" spans="1:43" s="47" customFormat="1" ht="24.95" customHeight="1">
      <c r="A297" s="253">
        <v>14</v>
      </c>
      <c r="B297" s="254" t="s">
        <v>886</v>
      </c>
      <c r="C297" s="255" t="s">
        <v>887</v>
      </c>
      <c r="D297" s="278" t="str">
        <f>VLOOKUP(B297,Attendance!$B$6:$D$385,3,0)</f>
        <v>Zonal Manager</v>
      </c>
      <c r="E297" s="278" t="s">
        <v>203</v>
      </c>
      <c r="F297" s="523">
        <v>45171</v>
      </c>
      <c r="G297" s="257">
        <f>VLOOKUP(B297,Attendance!$B$6:$G$386,6,0)</f>
        <v>31</v>
      </c>
      <c r="H297" s="258">
        <f>VLOOKUP(B$8:B$380,Attendance!$B$6:$L$386,11,0)</f>
        <v>0</v>
      </c>
      <c r="I297" s="257">
        <f t="shared" si="286"/>
        <v>31</v>
      </c>
      <c r="J297" s="258">
        <f t="shared" si="287"/>
        <v>2629.0322580645161</v>
      </c>
      <c r="K297" s="192">
        <v>81500</v>
      </c>
      <c r="L297" s="72">
        <f t="shared" si="288"/>
        <v>48900</v>
      </c>
      <c r="M297" s="72">
        <f t="shared" si="289"/>
        <v>24450</v>
      </c>
      <c r="N297" s="72">
        <f t="shared" si="290"/>
        <v>4890</v>
      </c>
      <c r="O297" s="72">
        <f t="shared" si="291"/>
        <v>3260</v>
      </c>
      <c r="P297" s="259"/>
      <c r="Q297" s="260">
        <f t="shared" si="292"/>
        <v>81500</v>
      </c>
      <c r="R297" s="260">
        <f>ROUND(I297*J297,)</f>
        <v>81500</v>
      </c>
      <c r="S297" s="261"/>
      <c r="T297" s="261"/>
      <c r="U297" s="809"/>
      <c r="V297" s="263">
        <f t="shared" si="294"/>
        <v>81500</v>
      </c>
      <c r="W297" s="72">
        <v>773</v>
      </c>
      <c r="X297" s="261">
        <f>IFERROR(VLOOKUP(B297,'Lunch bill'!$B$6:$H$30,7,0),0)</f>
        <v>0</v>
      </c>
      <c r="Y297" s="261">
        <f t="shared" si="295"/>
        <v>2445</v>
      </c>
      <c r="Z297" s="261">
        <f>IFERROR(VLOOKUP(B297,'55 Bike '!$B$7:$J$139,9,0),0)</f>
        <v>0</v>
      </c>
      <c r="AA297" s="261"/>
      <c r="AB297" s="73">
        <f t="shared" si="296"/>
        <v>3218</v>
      </c>
      <c r="AC297" s="73">
        <f t="shared" si="297"/>
        <v>78282</v>
      </c>
      <c r="AD297" s="264" t="s">
        <v>23</v>
      </c>
      <c r="AE297" s="256" t="s">
        <v>935</v>
      </c>
      <c r="AF297" s="838"/>
      <c r="AG297" s="205"/>
      <c r="AH297" s="383"/>
      <c r="AI297" s="543"/>
      <c r="AJ297" s="548"/>
      <c r="AK297" s="548"/>
      <c r="AL297" s="198"/>
      <c r="AM297" s="320"/>
      <c r="AN297" s="61"/>
      <c r="AO297" s="61"/>
      <c r="AP297" s="198"/>
      <c r="AQ297" s="61"/>
    </row>
    <row r="298" spans="1:43" s="47" customFormat="1" ht="21" customHeight="1">
      <c r="A298" s="253">
        <v>15</v>
      </c>
      <c r="B298" s="254" t="s">
        <v>888</v>
      </c>
      <c r="C298" s="255" t="s">
        <v>889</v>
      </c>
      <c r="D298" s="278" t="str">
        <f>VLOOKUP(B298,Attendance!$B$6:$D$385,3,0)</f>
        <v>Jr. Executive</v>
      </c>
      <c r="E298" s="278" t="s">
        <v>203</v>
      </c>
      <c r="F298" s="523">
        <v>45171</v>
      </c>
      <c r="G298" s="257">
        <f>VLOOKUP(B298,Attendance!$B$6:$G$386,6,0)</f>
        <v>31</v>
      </c>
      <c r="H298" s="258">
        <f>VLOOKUP(B$8:B$380,Attendance!$B$6:$L$386,11,0)</f>
        <v>0</v>
      </c>
      <c r="I298" s="257">
        <f t="shared" si="286"/>
        <v>31</v>
      </c>
      <c r="J298" s="258">
        <f t="shared" si="287"/>
        <v>967.74193548387098</v>
      </c>
      <c r="K298" s="72">
        <v>30000</v>
      </c>
      <c r="L298" s="72">
        <f t="shared" si="288"/>
        <v>18000</v>
      </c>
      <c r="M298" s="72">
        <f t="shared" si="289"/>
        <v>9000</v>
      </c>
      <c r="N298" s="72">
        <f t="shared" si="290"/>
        <v>1800</v>
      </c>
      <c r="O298" s="72">
        <f t="shared" si="291"/>
        <v>1200</v>
      </c>
      <c r="P298" s="259"/>
      <c r="Q298" s="260">
        <f t="shared" si="292"/>
        <v>30000</v>
      </c>
      <c r="R298" s="260">
        <f t="shared" si="293"/>
        <v>30000</v>
      </c>
      <c r="S298" s="261"/>
      <c r="T298" s="261"/>
      <c r="U298" s="263"/>
      <c r="V298" s="263">
        <f t="shared" si="294"/>
        <v>30000</v>
      </c>
      <c r="W298" s="72"/>
      <c r="X298" s="261">
        <f>IFERROR(VLOOKUP(B298,'Lunch bill'!$B$6:$H$30,7,0),0)</f>
        <v>1650</v>
      </c>
      <c r="Y298" s="261">
        <f t="shared" si="295"/>
        <v>900</v>
      </c>
      <c r="Z298" s="261">
        <f>IFERROR(VLOOKUP(B298,'55 Bike '!$B$7:$J$139,9,0),0)</f>
        <v>0</v>
      </c>
      <c r="AA298" s="261"/>
      <c r="AB298" s="73">
        <f t="shared" si="296"/>
        <v>2550</v>
      </c>
      <c r="AC298" s="73">
        <f t="shared" si="297"/>
        <v>27450</v>
      </c>
      <c r="AD298" s="264" t="s">
        <v>23</v>
      </c>
      <c r="AE298" s="256" t="s">
        <v>936</v>
      </c>
      <c r="AF298" s="838"/>
      <c r="AG298" s="205"/>
      <c r="AH298" s="383"/>
      <c r="AI298" s="543"/>
      <c r="AJ298" s="548"/>
      <c r="AK298" s="548"/>
      <c r="AL298" s="198"/>
      <c r="AM298" s="320"/>
      <c r="AN298" s="61"/>
      <c r="AO298" s="61"/>
      <c r="AP298" s="198"/>
      <c r="AQ298" s="61"/>
    </row>
    <row r="299" spans="1:43" s="47" customFormat="1" ht="24.95" customHeight="1">
      <c r="A299" s="253">
        <v>16</v>
      </c>
      <c r="B299" s="254" t="s">
        <v>895</v>
      </c>
      <c r="C299" s="255" t="s">
        <v>896</v>
      </c>
      <c r="D299" s="278" t="str">
        <f>VLOOKUP(B299,Attendance!$B$6:$D$385,3,0)</f>
        <v>Sr. Territory Sales officer</v>
      </c>
      <c r="E299" s="278" t="s">
        <v>203</v>
      </c>
      <c r="F299" s="523">
        <v>45171</v>
      </c>
      <c r="G299" s="257">
        <f>VLOOKUP(B299,Attendance!$B$6:$G$386,6,0)</f>
        <v>31</v>
      </c>
      <c r="H299" s="258">
        <f>VLOOKUP(B$8:B$380,Attendance!$B$6:$L$386,11,0)</f>
        <v>0</v>
      </c>
      <c r="I299" s="257">
        <f t="shared" si="286"/>
        <v>31</v>
      </c>
      <c r="J299" s="258">
        <f t="shared" si="287"/>
        <v>935.48387096774195</v>
      </c>
      <c r="K299" s="192">
        <v>29000</v>
      </c>
      <c r="L299" s="72">
        <f t="shared" si="288"/>
        <v>17400</v>
      </c>
      <c r="M299" s="72">
        <f t="shared" si="289"/>
        <v>8700</v>
      </c>
      <c r="N299" s="72">
        <f t="shared" si="290"/>
        <v>1740</v>
      </c>
      <c r="O299" s="72">
        <f t="shared" si="291"/>
        <v>1160</v>
      </c>
      <c r="P299" s="259"/>
      <c r="Q299" s="260">
        <f t="shared" si="292"/>
        <v>29000</v>
      </c>
      <c r="R299" s="260">
        <f t="shared" si="293"/>
        <v>29000</v>
      </c>
      <c r="S299" s="261"/>
      <c r="T299" s="261"/>
      <c r="U299" s="809"/>
      <c r="V299" s="263">
        <f t="shared" si="294"/>
        <v>29000</v>
      </c>
      <c r="W299" s="72"/>
      <c r="X299" s="261">
        <f>IFERROR(VLOOKUP(B299,'Lunch bill'!$B$6:$H$30,7,0),0)</f>
        <v>0</v>
      </c>
      <c r="Y299" s="261">
        <f t="shared" si="295"/>
        <v>870</v>
      </c>
      <c r="Z299" s="261">
        <f>IFERROR(VLOOKUP(B299,'55 Bike '!$B$7:$J$139,9,0),0)</f>
        <v>2160</v>
      </c>
      <c r="AA299" s="261"/>
      <c r="AB299" s="73">
        <f t="shared" si="296"/>
        <v>3030</v>
      </c>
      <c r="AC299" s="73">
        <f t="shared" si="297"/>
        <v>25970</v>
      </c>
      <c r="AD299" s="264" t="s">
        <v>23</v>
      </c>
      <c r="AE299" s="256" t="s">
        <v>971</v>
      </c>
      <c r="AF299" s="838"/>
      <c r="AG299" s="205"/>
      <c r="AH299" s="383"/>
      <c r="AI299" s="543"/>
      <c r="AJ299" s="548"/>
      <c r="AK299" s="548"/>
      <c r="AL299" s="198"/>
      <c r="AM299" s="320"/>
      <c r="AN299" s="61"/>
      <c r="AO299" s="61"/>
      <c r="AP299" s="198"/>
      <c r="AQ299" s="61"/>
    </row>
    <row r="300" spans="1:43" s="47" customFormat="1" ht="24.95" customHeight="1">
      <c r="A300" s="253">
        <v>17</v>
      </c>
      <c r="B300" s="254" t="s">
        <v>897</v>
      </c>
      <c r="C300" s="255" t="s">
        <v>898</v>
      </c>
      <c r="D300" s="278" t="str">
        <f>VLOOKUP(B300,Attendance!$B$6:$D$385,3,0)</f>
        <v>Sr. Territory Sales officer</v>
      </c>
      <c r="E300" s="278" t="s">
        <v>203</v>
      </c>
      <c r="F300" s="523">
        <v>45171</v>
      </c>
      <c r="G300" s="257">
        <f>VLOOKUP(B300,Attendance!$B$6:$G$386,6,0)</f>
        <v>31</v>
      </c>
      <c r="H300" s="258">
        <f>VLOOKUP(B$8:B$380,Attendance!$B$6:$L$386,11,0)</f>
        <v>16</v>
      </c>
      <c r="I300" s="257">
        <f t="shared" si="286"/>
        <v>15</v>
      </c>
      <c r="J300" s="258">
        <f t="shared" si="287"/>
        <v>709.67741935483866</v>
      </c>
      <c r="K300" s="72">
        <v>22000</v>
      </c>
      <c r="L300" s="72">
        <f t="shared" si="288"/>
        <v>13200</v>
      </c>
      <c r="M300" s="72">
        <f t="shared" si="289"/>
        <v>6600</v>
      </c>
      <c r="N300" s="72">
        <f t="shared" si="290"/>
        <v>1320</v>
      </c>
      <c r="O300" s="72">
        <f t="shared" si="291"/>
        <v>880</v>
      </c>
      <c r="P300" s="259"/>
      <c r="Q300" s="260">
        <f t="shared" si="292"/>
        <v>22000</v>
      </c>
      <c r="R300" s="260">
        <f t="shared" si="293"/>
        <v>10645</v>
      </c>
      <c r="S300" s="261"/>
      <c r="T300" s="261"/>
      <c r="U300" s="263"/>
      <c r="V300" s="263">
        <f t="shared" si="294"/>
        <v>10645</v>
      </c>
      <c r="W300" s="72"/>
      <c r="X300" s="261">
        <f>IFERROR(VLOOKUP(B300,'Lunch bill'!$B$6:$H$30,7,0),0)</f>
        <v>0</v>
      </c>
      <c r="Y300" s="261">
        <f t="shared" si="295"/>
        <v>660</v>
      </c>
      <c r="Z300" s="261">
        <f>IFERROR(VLOOKUP(B300,'55 Bike '!$B$7:$J$139,9,0),0)</f>
        <v>2160</v>
      </c>
      <c r="AA300" s="261"/>
      <c r="AB300" s="73">
        <f t="shared" si="296"/>
        <v>2820</v>
      </c>
      <c r="AC300" s="73">
        <f t="shared" si="297"/>
        <v>7825</v>
      </c>
      <c r="AD300" s="264" t="s">
        <v>25</v>
      </c>
      <c r="AE300" s="256" t="s">
        <v>1876</v>
      </c>
      <c r="AF300" s="838"/>
      <c r="AG300" s="205"/>
      <c r="AH300" s="383"/>
      <c r="AI300" s="543"/>
      <c r="AJ300" s="548"/>
      <c r="AK300" s="548"/>
      <c r="AL300" s="198"/>
      <c r="AM300" s="320"/>
      <c r="AN300" s="61"/>
      <c r="AO300" s="61"/>
      <c r="AP300" s="198"/>
      <c r="AQ300" s="61"/>
    </row>
    <row r="301" spans="1:43" s="47" customFormat="1" ht="24.95" customHeight="1">
      <c r="A301" s="253">
        <v>18</v>
      </c>
      <c r="B301" s="254" t="s">
        <v>899</v>
      </c>
      <c r="C301" s="255" t="s">
        <v>900</v>
      </c>
      <c r="D301" s="278" t="str">
        <f>VLOOKUP(B301,Attendance!$B$6:$D$385,3,0)</f>
        <v>Sr. Territory Sales officer</v>
      </c>
      <c r="E301" s="278" t="s">
        <v>203</v>
      </c>
      <c r="F301" s="523">
        <v>45171</v>
      </c>
      <c r="G301" s="257">
        <f>VLOOKUP(B301,Attendance!$B$6:$G$386,6,0)</f>
        <v>31</v>
      </c>
      <c r="H301" s="258">
        <f>VLOOKUP(B$8:B$380,Attendance!$B$6:$L$386,11,0)</f>
        <v>0</v>
      </c>
      <c r="I301" s="257">
        <f t="shared" si="286"/>
        <v>31</v>
      </c>
      <c r="J301" s="258">
        <f t="shared" si="287"/>
        <v>838.70967741935488</v>
      </c>
      <c r="K301" s="192">
        <v>26000</v>
      </c>
      <c r="L301" s="72">
        <f t="shared" si="288"/>
        <v>15600</v>
      </c>
      <c r="M301" s="72">
        <f t="shared" si="289"/>
        <v>7800</v>
      </c>
      <c r="N301" s="72">
        <f t="shared" si="290"/>
        <v>1560</v>
      </c>
      <c r="O301" s="72">
        <f t="shared" si="291"/>
        <v>1040</v>
      </c>
      <c r="P301" s="259"/>
      <c r="Q301" s="260">
        <f t="shared" si="292"/>
        <v>26000</v>
      </c>
      <c r="R301" s="260">
        <f t="shared" si="293"/>
        <v>26000</v>
      </c>
      <c r="S301" s="261"/>
      <c r="T301" s="261"/>
      <c r="U301" s="809"/>
      <c r="V301" s="263">
        <f t="shared" si="294"/>
        <v>26000</v>
      </c>
      <c r="W301" s="72"/>
      <c r="X301" s="261">
        <f>IFERROR(VLOOKUP(B301,'Lunch bill'!$B$6:$H$30,7,0),0)</f>
        <v>0</v>
      </c>
      <c r="Y301" s="261">
        <f t="shared" si="295"/>
        <v>780</v>
      </c>
      <c r="Z301" s="261">
        <f>IFERROR(VLOOKUP(B301,'55 Bike '!$B$7:$J$139,9,0),0)</f>
        <v>2160</v>
      </c>
      <c r="AA301" s="261"/>
      <c r="AB301" s="73">
        <f t="shared" si="296"/>
        <v>2940</v>
      </c>
      <c r="AC301" s="73">
        <f t="shared" si="297"/>
        <v>23060</v>
      </c>
      <c r="AD301" s="264" t="s">
        <v>23</v>
      </c>
      <c r="AE301" s="256" t="s">
        <v>937</v>
      </c>
      <c r="AF301" s="838"/>
      <c r="AG301" s="205"/>
      <c r="AH301" s="383"/>
      <c r="AI301" s="543"/>
      <c r="AJ301" s="548"/>
      <c r="AK301" s="548"/>
      <c r="AL301" s="198"/>
      <c r="AM301" s="320"/>
      <c r="AN301" s="61"/>
      <c r="AO301" s="61"/>
      <c r="AP301" s="198"/>
      <c r="AQ301" s="61"/>
    </row>
    <row r="302" spans="1:43" s="47" customFormat="1" ht="24.95" customHeight="1">
      <c r="A302" s="253">
        <v>19</v>
      </c>
      <c r="B302" s="254" t="s">
        <v>901</v>
      </c>
      <c r="C302" s="255" t="s">
        <v>902</v>
      </c>
      <c r="D302" s="278" t="str">
        <f>VLOOKUP(B302,Attendance!$B$6:$D$385,3,0)</f>
        <v>Sr. Territory Sales officer</v>
      </c>
      <c r="E302" s="278" t="s">
        <v>203</v>
      </c>
      <c r="F302" s="523">
        <v>45171</v>
      </c>
      <c r="G302" s="257">
        <f>VLOOKUP(B302,Attendance!$B$6:$G$386,6,0)</f>
        <v>31</v>
      </c>
      <c r="H302" s="258">
        <f>VLOOKUP(B$8:B$380,Attendance!$B$6:$L$386,11,0)</f>
        <v>0</v>
      </c>
      <c r="I302" s="257">
        <f t="shared" si="286"/>
        <v>31</v>
      </c>
      <c r="J302" s="258">
        <f t="shared" si="287"/>
        <v>958.06451612903231</v>
      </c>
      <c r="K302" s="192">
        <v>29700</v>
      </c>
      <c r="L302" s="72">
        <f t="shared" si="288"/>
        <v>17820</v>
      </c>
      <c r="M302" s="72">
        <f t="shared" si="289"/>
        <v>8910</v>
      </c>
      <c r="N302" s="72">
        <f t="shared" si="290"/>
        <v>1782</v>
      </c>
      <c r="O302" s="72">
        <f t="shared" si="291"/>
        <v>1188</v>
      </c>
      <c r="P302" s="259"/>
      <c r="Q302" s="260">
        <f t="shared" si="292"/>
        <v>29700</v>
      </c>
      <c r="R302" s="260">
        <f t="shared" si="293"/>
        <v>29700</v>
      </c>
      <c r="S302" s="261"/>
      <c r="T302" s="261"/>
      <c r="U302" s="809"/>
      <c r="V302" s="263">
        <f t="shared" si="294"/>
        <v>29700</v>
      </c>
      <c r="W302" s="72"/>
      <c r="X302" s="261">
        <f>IFERROR(VLOOKUP(B302,'Lunch bill'!$B$6:$H$30,7,0),0)</f>
        <v>0</v>
      </c>
      <c r="Y302" s="261">
        <f t="shared" si="295"/>
        <v>891</v>
      </c>
      <c r="Z302" s="261">
        <f>IFERROR(VLOOKUP(B302,'55 Bike '!$B$7:$J$139,9,0),0)</f>
        <v>2160</v>
      </c>
      <c r="AA302" s="261"/>
      <c r="AB302" s="73">
        <f t="shared" si="296"/>
        <v>3051</v>
      </c>
      <c r="AC302" s="73">
        <f t="shared" si="297"/>
        <v>26649</v>
      </c>
      <c r="AD302" s="264" t="s">
        <v>23</v>
      </c>
      <c r="AE302" s="256" t="s">
        <v>938</v>
      </c>
      <c r="AF302" s="838"/>
      <c r="AG302" s="205"/>
      <c r="AH302" s="383"/>
      <c r="AI302" s="543"/>
      <c r="AJ302" s="548"/>
      <c r="AK302" s="548"/>
      <c r="AL302" s="198"/>
      <c r="AM302" s="320"/>
      <c r="AN302" s="61"/>
      <c r="AO302" s="61"/>
      <c r="AP302" s="198"/>
      <c r="AQ302" s="61"/>
    </row>
    <row r="303" spans="1:43" s="47" customFormat="1" ht="24.95" customHeight="1">
      <c r="A303" s="253">
        <v>20</v>
      </c>
      <c r="B303" s="254" t="s">
        <v>905</v>
      </c>
      <c r="C303" s="255" t="s">
        <v>906</v>
      </c>
      <c r="D303" s="278" t="str">
        <f>VLOOKUP(B303,Attendance!$B$6:$D$385,3,0)</f>
        <v>Territory Manger</v>
      </c>
      <c r="E303" s="278" t="s">
        <v>203</v>
      </c>
      <c r="F303" s="523">
        <v>45183</v>
      </c>
      <c r="G303" s="257">
        <f>VLOOKUP(B303,Attendance!$B$6:$G$386,6,0)</f>
        <v>31</v>
      </c>
      <c r="H303" s="258">
        <f>VLOOKUP(B$8:B$380,Attendance!$B$6:$L$386,11,0)</f>
        <v>0</v>
      </c>
      <c r="I303" s="257">
        <f t="shared" si="286"/>
        <v>31</v>
      </c>
      <c r="J303" s="258">
        <f t="shared" si="287"/>
        <v>1161.2903225806451</v>
      </c>
      <c r="K303" s="192">
        <v>36000</v>
      </c>
      <c r="L303" s="72">
        <f t="shared" si="288"/>
        <v>21600</v>
      </c>
      <c r="M303" s="72">
        <f t="shared" si="289"/>
        <v>10800</v>
      </c>
      <c r="N303" s="72">
        <f t="shared" si="290"/>
        <v>2160</v>
      </c>
      <c r="O303" s="72">
        <f t="shared" si="291"/>
        <v>1440</v>
      </c>
      <c r="P303" s="259"/>
      <c r="Q303" s="260">
        <f t="shared" si="292"/>
        <v>36000</v>
      </c>
      <c r="R303" s="260">
        <f t="shared" si="293"/>
        <v>36000</v>
      </c>
      <c r="S303" s="261"/>
      <c r="T303" s="261"/>
      <c r="U303" s="809"/>
      <c r="V303" s="263">
        <f t="shared" si="294"/>
        <v>36000</v>
      </c>
      <c r="W303" s="72"/>
      <c r="X303" s="261">
        <f>IFERROR(VLOOKUP(B303,'Lunch bill'!$B$6:$H$30,7,0),0)</f>
        <v>0</v>
      </c>
      <c r="Y303" s="261">
        <f t="shared" si="295"/>
        <v>1080</v>
      </c>
      <c r="Z303" s="261">
        <f>IFERROR(VLOOKUP(B303,'55 Bike '!$B$7:$J$139,9,0),0)</f>
        <v>0</v>
      </c>
      <c r="AA303" s="261"/>
      <c r="AB303" s="73">
        <f t="shared" si="296"/>
        <v>1080</v>
      </c>
      <c r="AC303" s="73">
        <f t="shared" si="297"/>
        <v>34920</v>
      </c>
      <c r="AD303" s="264" t="s">
        <v>23</v>
      </c>
      <c r="AE303" s="256" t="s">
        <v>939</v>
      </c>
      <c r="AF303" s="838"/>
      <c r="AG303" s="205"/>
      <c r="AH303" s="383"/>
      <c r="AI303" s="543"/>
      <c r="AJ303" s="548"/>
      <c r="AK303" s="548"/>
      <c r="AL303" s="198"/>
      <c r="AM303" s="320"/>
      <c r="AN303" s="61"/>
      <c r="AO303" s="61"/>
      <c r="AP303" s="198"/>
      <c r="AQ303" s="61"/>
    </row>
    <row r="304" spans="1:43" s="47" customFormat="1" ht="24.95" customHeight="1">
      <c r="A304" s="253">
        <v>21</v>
      </c>
      <c r="B304" s="254" t="s">
        <v>908</v>
      </c>
      <c r="C304" s="255" t="s">
        <v>909</v>
      </c>
      <c r="D304" s="278" t="str">
        <f>VLOOKUP(B304,Attendance!$B$6:$D$385,3,0)</f>
        <v>Sr. Territory Sales officer</v>
      </c>
      <c r="E304" s="278" t="s">
        <v>203</v>
      </c>
      <c r="F304" s="523">
        <v>45183</v>
      </c>
      <c r="G304" s="257">
        <f>VLOOKUP(B304,Attendance!$B$6:$G$386,6,0)</f>
        <v>31</v>
      </c>
      <c r="H304" s="258">
        <f>VLOOKUP(B$8:B$380,Attendance!$B$6:$L$386,11,0)</f>
        <v>0</v>
      </c>
      <c r="I304" s="257">
        <f t="shared" si="286"/>
        <v>31</v>
      </c>
      <c r="J304" s="258">
        <f t="shared" si="287"/>
        <v>925.80645161290317</v>
      </c>
      <c r="K304" s="192">
        <v>28700</v>
      </c>
      <c r="L304" s="72">
        <f t="shared" si="288"/>
        <v>17220</v>
      </c>
      <c r="M304" s="72">
        <f t="shared" si="289"/>
        <v>8610</v>
      </c>
      <c r="N304" s="72">
        <f t="shared" si="290"/>
        <v>1722</v>
      </c>
      <c r="O304" s="72">
        <f t="shared" si="291"/>
        <v>1148</v>
      </c>
      <c r="P304" s="259"/>
      <c r="Q304" s="260">
        <f t="shared" si="292"/>
        <v>28700</v>
      </c>
      <c r="R304" s="260">
        <f t="shared" si="293"/>
        <v>28700</v>
      </c>
      <c r="S304" s="261"/>
      <c r="T304" s="261"/>
      <c r="U304" s="809"/>
      <c r="V304" s="263">
        <f t="shared" si="294"/>
        <v>28700</v>
      </c>
      <c r="W304" s="72"/>
      <c r="X304" s="261">
        <f>IFERROR(VLOOKUP(B304,'Lunch bill'!$B$6:$H$30,7,0),0)</f>
        <v>0</v>
      </c>
      <c r="Y304" s="261">
        <f t="shared" si="295"/>
        <v>861</v>
      </c>
      <c r="Z304" s="261">
        <f>IFERROR(VLOOKUP(B304,'55 Bike '!$B$7:$J$139,9,0),0)</f>
        <v>0</v>
      </c>
      <c r="AA304" s="261"/>
      <c r="AB304" s="73">
        <f t="shared" si="296"/>
        <v>861</v>
      </c>
      <c r="AC304" s="73">
        <f t="shared" si="297"/>
        <v>27839</v>
      </c>
      <c r="AD304" s="264" t="s">
        <v>23</v>
      </c>
      <c r="AE304" s="256" t="s">
        <v>940</v>
      </c>
      <c r="AF304" s="838"/>
      <c r="AG304" s="205"/>
      <c r="AH304" s="383"/>
      <c r="AI304" s="543"/>
      <c r="AJ304" s="548"/>
      <c r="AK304" s="548"/>
      <c r="AL304" s="198"/>
      <c r="AM304" s="320"/>
      <c r="AN304" s="61"/>
      <c r="AO304" s="61"/>
      <c r="AP304" s="198"/>
      <c r="AQ304" s="61"/>
    </row>
    <row r="305" spans="1:43" s="47" customFormat="1" ht="24.95" customHeight="1">
      <c r="A305" s="253">
        <v>22</v>
      </c>
      <c r="B305" s="254" t="s">
        <v>924</v>
      </c>
      <c r="C305" s="255" t="s">
        <v>925</v>
      </c>
      <c r="D305" s="278" t="str">
        <f>VLOOKUP(B305,Attendance!$B$6:$D$385,3,0)</f>
        <v>Territory Manager</v>
      </c>
      <c r="E305" s="278" t="s">
        <v>203</v>
      </c>
      <c r="F305" s="523">
        <v>45192</v>
      </c>
      <c r="G305" s="257">
        <f>VLOOKUP(B305,Attendance!$B$6:$G$386,6,0)</f>
        <v>31</v>
      </c>
      <c r="H305" s="258">
        <f>VLOOKUP(B$8:B$380,Attendance!$B$6:$L$386,11,0)</f>
        <v>0</v>
      </c>
      <c r="I305" s="257">
        <f t="shared" si="286"/>
        <v>31</v>
      </c>
      <c r="J305" s="258">
        <f t="shared" si="287"/>
        <v>1290.3225806451612</v>
      </c>
      <c r="K305" s="192">
        <v>40000</v>
      </c>
      <c r="L305" s="72">
        <f t="shared" si="288"/>
        <v>24000</v>
      </c>
      <c r="M305" s="72">
        <f t="shared" si="289"/>
        <v>12000</v>
      </c>
      <c r="N305" s="72">
        <f t="shared" si="290"/>
        <v>2400</v>
      </c>
      <c r="O305" s="72">
        <f t="shared" si="291"/>
        <v>1600</v>
      </c>
      <c r="P305" s="259"/>
      <c r="Q305" s="260">
        <f t="shared" si="292"/>
        <v>40000</v>
      </c>
      <c r="R305" s="260">
        <f t="shared" si="293"/>
        <v>40000</v>
      </c>
      <c r="S305" s="261"/>
      <c r="T305" s="261"/>
      <c r="U305" s="809"/>
      <c r="V305" s="263">
        <f t="shared" si="294"/>
        <v>40000</v>
      </c>
      <c r="W305" s="72"/>
      <c r="X305" s="261">
        <f>IFERROR(VLOOKUP(B305,'Lunch bill'!$B$6:$H$30,7,0),0)</f>
        <v>0</v>
      </c>
      <c r="Y305" s="261">
        <f t="shared" si="295"/>
        <v>1200</v>
      </c>
      <c r="Z305" s="261">
        <f>IFERROR(VLOOKUP(B305,'55 Bike '!$B$7:$J$139,9,0),0)</f>
        <v>2160</v>
      </c>
      <c r="AA305" s="261"/>
      <c r="AB305" s="73">
        <f t="shared" si="296"/>
        <v>3360</v>
      </c>
      <c r="AC305" s="73">
        <f t="shared" si="297"/>
        <v>36640</v>
      </c>
      <c r="AD305" s="264" t="s">
        <v>23</v>
      </c>
      <c r="AE305" s="256" t="s">
        <v>941</v>
      </c>
      <c r="AF305" s="838"/>
      <c r="AG305" s="205"/>
      <c r="AH305" s="383"/>
      <c r="AI305" s="543"/>
      <c r="AJ305" s="548"/>
      <c r="AK305" s="548"/>
      <c r="AL305" s="198"/>
      <c r="AM305" s="320"/>
      <c r="AN305" s="61"/>
      <c r="AO305" s="61"/>
      <c r="AP305" s="198"/>
      <c r="AQ305" s="61"/>
    </row>
    <row r="306" spans="1:43" s="47" customFormat="1" ht="24.95" customHeight="1">
      <c r="A306" s="253">
        <v>23</v>
      </c>
      <c r="B306" s="254" t="s">
        <v>926</v>
      </c>
      <c r="C306" s="255" t="s">
        <v>927</v>
      </c>
      <c r="D306" s="278" t="str">
        <f>VLOOKUP(B306,Attendance!$B$6:$D$385,3,0)</f>
        <v>Sr. Territory Sales Officer</v>
      </c>
      <c r="E306" s="278" t="s">
        <v>203</v>
      </c>
      <c r="F306" s="523">
        <v>45194</v>
      </c>
      <c r="G306" s="257">
        <f>VLOOKUP(B306,Attendance!$B$6:$G$386,6,0)</f>
        <v>31</v>
      </c>
      <c r="H306" s="258">
        <f>VLOOKUP(B$8:B$380,Attendance!$B$6:$L$386,11,0)</f>
        <v>0</v>
      </c>
      <c r="I306" s="257">
        <f t="shared" si="286"/>
        <v>31</v>
      </c>
      <c r="J306" s="258">
        <f t="shared" si="287"/>
        <v>935.48387096774195</v>
      </c>
      <c r="K306" s="192">
        <v>29000</v>
      </c>
      <c r="L306" s="72">
        <f t="shared" si="288"/>
        <v>17400</v>
      </c>
      <c r="M306" s="72">
        <f t="shared" si="289"/>
        <v>8700</v>
      </c>
      <c r="N306" s="72">
        <f t="shared" si="290"/>
        <v>1740</v>
      </c>
      <c r="O306" s="72">
        <f t="shared" si="291"/>
        <v>1160</v>
      </c>
      <c r="P306" s="259"/>
      <c r="Q306" s="260">
        <f t="shared" si="292"/>
        <v>29000</v>
      </c>
      <c r="R306" s="260">
        <f t="shared" si="293"/>
        <v>29000</v>
      </c>
      <c r="S306" s="261"/>
      <c r="T306" s="261"/>
      <c r="U306" s="809"/>
      <c r="V306" s="263">
        <f t="shared" si="294"/>
        <v>29000</v>
      </c>
      <c r="W306" s="72"/>
      <c r="X306" s="261">
        <f>IFERROR(VLOOKUP(B306,'Lunch bill'!$B$6:$H$30,7,0),0)</f>
        <v>0</v>
      </c>
      <c r="Y306" s="261">
        <f t="shared" si="295"/>
        <v>870</v>
      </c>
      <c r="Z306" s="261">
        <f>IFERROR(VLOOKUP(B306,'55 Bike '!$B$7:$J$139,9,0),0)</f>
        <v>2160</v>
      </c>
      <c r="AA306" s="261"/>
      <c r="AB306" s="73">
        <f t="shared" si="296"/>
        <v>3030</v>
      </c>
      <c r="AC306" s="73">
        <f t="shared" si="297"/>
        <v>25970</v>
      </c>
      <c r="AD306" s="264" t="s">
        <v>23</v>
      </c>
      <c r="AE306" s="256" t="s">
        <v>942</v>
      </c>
      <c r="AF306" s="838"/>
      <c r="AG306" s="205"/>
      <c r="AH306" s="383"/>
      <c r="AI306" s="543"/>
      <c r="AJ306" s="548"/>
      <c r="AK306" s="548"/>
      <c r="AL306" s="198"/>
      <c r="AM306" s="320"/>
      <c r="AN306" s="61"/>
      <c r="AO306" s="61"/>
      <c r="AP306" s="198"/>
      <c r="AQ306" s="61"/>
    </row>
    <row r="307" spans="1:43" s="47" customFormat="1" ht="24.95" customHeight="1">
      <c r="A307" s="253">
        <v>24</v>
      </c>
      <c r="B307" s="254" t="s">
        <v>929</v>
      </c>
      <c r="C307" s="255" t="s">
        <v>930</v>
      </c>
      <c r="D307" s="278" t="str">
        <f>VLOOKUP(B307,Attendance!$B$6:$D$385,3,0)</f>
        <v>Territory Manager</v>
      </c>
      <c r="E307" s="278" t="s">
        <v>203</v>
      </c>
      <c r="F307" s="523">
        <v>45199</v>
      </c>
      <c r="G307" s="257">
        <f>VLOOKUP(B307,Attendance!$B$6:$G$386,6,0)</f>
        <v>31</v>
      </c>
      <c r="H307" s="258">
        <f>VLOOKUP(B$8:B$380,Attendance!$B$6:$L$386,11,0)</f>
        <v>0</v>
      </c>
      <c r="I307" s="257">
        <f t="shared" ref="I307:I322" si="298">G307-H307</f>
        <v>31</v>
      </c>
      <c r="J307" s="258">
        <f t="shared" ref="J307:J322" si="299">Q307/G307</f>
        <v>1193.5483870967741</v>
      </c>
      <c r="K307" s="192">
        <v>37000</v>
      </c>
      <c r="L307" s="72">
        <f t="shared" ref="L307:L322" si="300">K307*60%</f>
        <v>22200</v>
      </c>
      <c r="M307" s="72">
        <f t="shared" ref="M307:M322" si="301">K307*30%</f>
        <v>11100</v>
      </c>
      <c r="N307" s="72">
        <f t="shared" ref="N307:N322" si="302">K307*6%</f>
        <v>2220</v>
      </c>
      <c r="O307" s="72">
        <f t="shared" ref="O307:O322" si="303">K307*4%</f>
        <v>1480</v>
      </c>
      <c r="P307" s="259"/>
      <c r="Q307" s="260">
        <f t="shared" ref="Q307:Q322" si="304">SUM(L307:P307)</f>
        <v>37000</v>
      </c>
      <c r="R307" s="260">
        <f t="shared" ref="R307:R322" si="305">ROUND(I307*J307,)</f>
        <v>37000</v>
      </c>
      <c r="S307" s="261"/>
      <c r="T307" s="261"/>
      <c r="U307" s="809"/>
      <c r="V307" s="263">
        <f t="shared" ref="V307:V322" si="306">SUM(R307:U307)</f>
        <v>37000</v>
      </c>
      <c r="W307" s="72"/>
      <c r="X307" s="261">
        <f>IFERROR(VLOOKUP(B307,'Lunch bill'!$B$6:$H$30,7,0),0)</f>
        <v>0</v>
      </c>
      <c r="Y307" s="261">
        <f t="shared" ref="Y307:Y330" si="307">ROUND(IF($AH$4-F307&gt;=360,L307*5%,0),0)</f>
        <v>1110</v>
      </c>
      <c r="Z307" s="261">
        <f>IFERROR(VLOOKUP(B307,'55 Bike '!$B$7:$J$139,9,0),0)</f>
        <v>2160</v>
      </c>
      <c r="AA307" s="261"/>
      <c r="AB307" s="73">
        <f t="shared" ref="AB307:AB322" si="308">SUM(W307:AA307)</f>
        <v>3270</v>
      </c>
      <c r="AC307" s="73">
        <f t="shared" ref="AC307:AC322" si="309">ROUND(V307-AB307,0)</f>
        <v>33730</v>
      </c>
      <c r="AD307" s="264" t="s">
        <v>23</v>
      </c>
      <c r="AE307" s="256" t="s">
        <v>943</v>
      </c>
      <c r="AF307" s="838"/>
      <c r="AG307" s="205"/>
      <c r="AH307" s="383"/>
      <c r="AI307" s="543"/>
      <c r="AJ307" s="548"/>
      <c r="AK307" s="548"/>
      <c r="AL307" s="198"/>
      <c r="AM307" s="320"/>
      <c r="AN307" s="61"/>
      <c r="AO307" s="61"/>
      <c r="AP307" s="198"/>
      <c r="AQ307" s="61"/>
    </row>
    <row r="308" spans="1:43" s="47" customFormat="1" ht="24.95" customHeight="1">
      <c r="A308" s="253">
        <v>25</v>
      </c>
      <c r="B308" s="254" t="s">
        <v>952</v>
      </c>
      <c r="C308" s="255" t="s">
        <v>953</v>
      </c>
      <c r="D308" s="278" t="str">
        <f>VLOOKUP(B308,Attendance!$B$6:$D$385,3,0)</f>
        <v>Territory Manager</v>
      </c>
      <c r="E308" s="278" t="s">
        <v>203</v>
      </c>
      <c r="F308" s="523">
        <v>45206</v>
      </c>
      <c r="G308" s="257">
        <f>VLOOKUP(B308,Attendance!$B$6:$G$386,6,0)</f>
        <v>31</v>
      </c>
      <c r="H308" s="258">
        <f>VLOOKUP(B$8:B$380,Attendance!$B$6:$L$386,11,0)</f>
        <v>0</v>
      </c>
      <c r="I308" s="257">
        <f t="shared" si="298"/>
        <v>31</v>
      </c>
      <c r="J308" s="258">
        <f t="shared" si="299"/>
        <v>1077.4193548387098</v>
      </c>
      <c r="K308" s="72">
        <v>33400</v>
      </c>
      <c r="L308" s="72">
        <f t="shared" si="300"/>
        <v>20040</v>
      </c>
      <c r="M308" s="72">
        <f t="shared" si="301"/>
        <v>10020</v>
      </c>
      <c r="N308" s="72">
        <f t="shared" si="302"/>
        <v>2004</v>
      </c>
      <c r="O308" s="72">
        <f t="shared" si="303"/>
        <v>1336</v>
      </c>
      <c r="P308" s="259"/>
      <c r="Q308" s="260">
        <f t="shared" si="304"/>
        <v>33400</v>
      </c>
      <c r="R308" s="260">
        <f t="shared" si="305"/>
        <v>33400</v>
      </c>
      <c r="S308" s="261"/>
      <c r="T308" s="261"/>
      <c r="U308" s="263"/>
      <c r="V308" s="263">
        <f t="shared" si="306"/>
        <v>33400</v>
      </c>
      <c r="W308" s="72"/>
      <c r="X308" s="261">
        <f>IFERROR(VLOOKUP(B308,'Lunch bill'!$B$6:$H$30,7,0),0)</f>
        <v>0</v>
      </c>
      <c r="Y308" s="261">
        <f t="shared" si="307"/>
        <v>1002</v>
      </c>
      <c r="Z308" s="261">
        <f>IFERROR(VLOOKUP(B308,'55 Bike '!$B$7:$J$139,9,0),0)</f>
        <v>2160</v>
      </c>
      <c r="AA308" s="261"/>
      <c r="AB308" s="73">
        <f t="shared" si="308"/>
        <v>3162</v>
      </c>
      <c r="AC308" s="73">
        <f t="shared" si="309"/>
        <v>30238</v>
      </c>
      <c r="AD308" s="264" t="s">
        <v>23</v>
      </c>
      <c r="AE308" s="256" t="s">
        <v>966</v>
      </c>
      <c r="AF308" s="838"/>
      <c r="AG308" s="205"/>
      <c r="AH308" s="383"/>
      <c r="AI308" s="543"/>
      <c r="AJ308" s="548"/>
      <c r="AK308" s="548"/>
      <c r="AL308" s="198"/>
      <c r="AM308" s="320"/>
      <c r="AN308" s="61"/>
      <c r="AO308" s="61"/>
      <c r="AP308" s="198"/>
      <c r="AQ308" s="61"/>
    </row>
    <row r="309" spans="1:43" s="47" customFormat="1" ht="30.75" customHeight="1">
      <c r="A309" s="253">
        <v>26</v>
      </c>
      <c r="B309" s="254" t="s">
        <v>955</v>
      </c>
      <c r="C309" s="255" t="s">
        <v>956</v>
      </c>
      <c r="D309" s="278" t="str">
        <f>VLOOKUP(B309,Attendance!$B$6:$D$385,3,0)</f>
        <v>Sr. Territory Sales Officer</v>
      </c>
      <c r="E309" s="278" t="s">
        <v>203</v>
      </c>
      <c r="F309" s="523">
        <v>45209</v>
      </c>
      <c r="G309" s="257">
        <f>VLOOKUP(B309,Attendance!$B$6:$G$386,6,0)</f>
        <v>31</v>
      </c>
      <c r="H309" s="258">
        <f>VLOOKUP(B$8:B$380,Attendance!$B$6:$L$386,11,0)</f>
        <v>0</v>
      </c>
      <c r="I309" s="257">
        <f t="shared" si="298"/>
        <v>31</v>
      </c>
      <c r="J309" s="258">
        <f t="shared" si="299"/>
        <v>1032.258064516129</v>
      </c>
      <c r="K309" s="72">
        <v>32000</v>
      </c>
      <c r="L309" s="72">
        <f t="shared" si="300"/>
        <v>19200</v>
      </c>
      <c r="M309" s="72">
        <f t="shared" si="301"/>
        <v>9600</v>
      </c>
      <c r="N309" s="72">
        <f t="shared" si="302"/>
        <v>1920</v>
      </c>
      <c r="O309" s="72">
        <f t="shared" si="303"/>
        <v>1280</v>
      </c>
      <c r="P309" s="259"/>
      <c r="Q309" s="260">
        <f t="shared" si="304"/>
        <v>32000</v>
      </c>
      <c r="R309" s="260">
        <f t="shared" si="305"/>
        <v>32000</v>
      </c>
      <c r="S309" s="261"/>
      <c r="T309" s="261"/>
      <c r="U309" s="263"/>
      <c r="V309" s="263">
        <f t="shared" si="306"/>
        <v>32000</v>
      </c>
      <c r="W309" s="72"/>
      <c r="X309" s="261">
        <f>IFERROR(VLOOKUP(B309,'Lunch bill'!$B$6:$H$30,7,0),0)</f>
        <v>0</v>
      </c>
      <c r="Y309" s="261">
        <f t="shared" si="307"/>
        <v>960</v>
      </c>
      <c r="Z309" s="261">
        <f>IFERROR(VLOOKUP(B309,'55 Bike '!$B$7:$J$139,9,0),0)</f>
        <v>2160</v>
      </c>
      <c r="AA309" s="261"/>
      <c r="AB309" s="73">
        <f t="shared" si="308"/>
        <v>3120</v>
      </c>
      <c r="AC309" s="73">
        <f t="shared" si="309"/>
        <v>28880</v>
      </c>
      <c r="AD309" s="264" t="s">
        <v>23</v>
      </c>
      <c r="AE309" s="256" t="s">
        <v>967</v>
      </c>
      <c r="AF309" s="838"/>
      <c r="AG309" s="205"/>
      <c r="AH309" s="383"/>
      <c r="AI309" s="543"/>
      <c r="AJ309" s="548"/>
      <c r="AK309" s="548"/>
      <c r="AL309" s="198"/>
      <c r="AM309" s="320"/>
      <c r="AN309" s="61"/>
      <c r="AO309" s="61"/>
      <c r="AP309" s="198"/>
      <c r="AQ309" s="61"/>
    </row>
    <row r="310" spans="1:43" s="47" customFormat="1" ht="30" customHeight="1">
      <c r="A310" s="253">
        <v>27</v>
      </c>
      <c r="B310" s="254" t="s">
        <v>1069</v>
      </c>
      <c r="C310" s="255" t="s">
        <v>1070</v>
      </c>
      <c r="D310" s="278" t="str">
        <f>VLOOKUP(B310,Attendance!$B$6:$D$385,3,0)</f>
        <v>Assistant Territory Sales officer</v>
      </c>
      <c r="E310" s="278" t="s">
        <v>203</v>
      </c>
      <c r="F310" s="523">
        <v>45231</v>
      </c>
      <c r="G310" s="257">
        <f>VLOOKUP(B310,Attendance!$B$6:$G$386,6,0)</f>
        <v>31</v>
      </c>
      <c r="H310" s="258">
        <f>VLOOKUP(B$8:B$380,Attendance!$B$6:$L$386,11,0)</f>
        <v>0</v>
      </c>
      <c r="I310" s="257">
        <f t="shared" si="298"/>
        <v>31</v>
      </c>
      <c r="J310" s="258">
        <f t="shared" si="299"/>
        <v>645.16129032258061</v>
      </c>
      <c r="K310" s="72">
        <v>20000</v>
      </c>
      <c r="L310" s="72">
        <f t="shared" si="300"/>
        <v>12000</v>
      </c>
      <c r="M310" s="72">
        <f t="shared" si="301"/>
        <v>6000</v>
      </c>
      <c r="N310" s="72">
        <f t="shared" si="302"/>
        <v>1200</v>
      </c>
      <c r="O310" s="72">
        <f t="shared" si="303"/>
        <v>800</v>
      </c>
      <c r="P310" s="259"/>
      <c r="Q310" s="260">
        <f t="shared" si="304"/>
        <v>20000</v>
      </c>
      <c r="R310" s="260">
        <f t="shared" si="305"/>
        <v>20000</v>
      </c>
      <c r="S310" s="261"/>
      <c r="T310" s="261"/>
      <c r="U310" s="263"/>
      <c r="V310" s="263">
        <f t="shared" si="306"/>
        <v>20000</v>
      </c>
      <c r="W310" s="72"/>
      <c r="X310" s="261">
        <f>IFERROR(VLOOKUP(B310,'Lunch bill'!$B$6:$H$30,7,0),0)</f>
        <v>0</v>
      </c>
      <c r="Y310" s="261">
        <f t="shared" si="307"/>
        <v>600</v>
      </c>
      <c r="Z310" s="261">
        <f>IFERROR(VLOOKUP(B310,'55 Bike '!$B$7:$J$139,9,0),0)</f>
        <v>2116</v>
      </c>
      <c r="AA310" s="261"/>
      <c r="AB310" s="73">
        <f t="shared" si="308"/>
        <v>2716</v>
      </c>
      <c r="AC310" s="73">
        <f t="shared" si="309"/>
        <v>17284</v>
      </c>
      <c r="AD310" s="264" t="s">
        <v>23</v>
      </c>
      <c r="AE310" s="256" t="s">
        <v>1099</v>
      </c>
      <c r="AF310" s="838"/>
      <c r="AG310" s="205"/>
      <c r="AH310" s="383"/>
      <c r="AI310" s="543"/>
      <c r="AJ310" s="548"/>
      <c r="AK310" s="548"/>
      <c r="AL310" s="198"/>
      <c r="AM310" s="320"/>
      <c r="AN310" s="61"/>
      <c r="AO310" s="61"/>
      <c r="AP310" s="198"/>
      <c r="AQ310" s="61"/>
    </row>
    <row r="311" spans="1:43" s="47" customFormat="1" ht="24.95" customHeight="1">
      <c r="A311" s="253">
        <v>28</v>
      </c>
      <c r="B311" s="254" t="s">
        <v>1364</v>
      </c>
      <c r="C311" s="255" t="s">
        <v>1365</v>
      </c>
      <c r="D311" s="278" t="s">
        <v>489</v>
      </c>
      <c r="E311" s="278" t="s">
        <v>203</v>
      </c>
      <c r="F311" s="523">
        <v>45234</v>
      </c>
      <c r="G311" s="257">
        <f>VLOOKUP(B311,Attendance!$B$6:$G$386,6,0)</f>
        <v>31</v>
      </c>
      <c r="H311" s="258">
        <f>VLOOKUP(B$8:B$380,Attendance!$B$6:$L$386,11,0)</f>
        <v>0</v>
      </c>
      <c r="I311" s="257">
        <f t="shared" si="298"/>
        <v>31</v>
      </c>
      <c r="J311" s="258">
        <f t="shared" si="299"/>
        <v>1129.0322580645161</v>
      </c>
      <c r="K311" s="72">
        <v>35000</v>
      </c>
      <c r="L311" s="72">
        <f t="shared" si="300"/>
        <v>21000</v>
      </c>
      <c r="M311" s="72">
        <f t="shared" si="301"/>
        <v>10500</v>
      </c>
      <c r="N311" s="72">
        <f t="shared" si="302"/>
        <v>2100</v>
      </c>
      <c r="O311" s="72">
        <f t="shared" si="303"/>
        <v>1400</v>
      </c>
      <c r="P311" s="259"/>
      <c r="Q311" s="260">
        <f t="shared" si="304"/>
        <v>35000</v>
      </c>
      <c r="R311" s="260">
        <f t="shared" si="305"/>
        <v>35000</v>
      </c>
      <c r="S311" s="261"/>
      <c r="T311" s="261"/>
      <c r="U311" s="263"/>
      <c r="V311" s="263">
        <f t="shared" si="306"/>
        <v>35000</v>
      </c>
      <c r="W311" s="72"/>
      <c r="X311" s="261">
        <f>IFERROR(VLOOKUP(B311,'Lunch bill'!$B$6:$H$30,7,0),0)</f>
        <v>0</v>
      </c>
      <c r="Y311" s="261">
        <f t="shared" si="307"/>
        <v>1050</v>
      </c>
      <c r="Z311" s="261">
        <f>IFERROR(VLOOKUP(B311,'55 Bike '!$B$7:$J$139,9,0),0)</f>
        <v>0</v>
      </c>
      <c r="AA311" s="261"/>
      <c r="AB311" s="73">
        <f t="shared" si="308"/>
        <v>1050</v>
      </c>
      <c r="AC311" s="73">
        <f t="shared" si="309"/>
        <v>33950</v>
      </c>
      <c r="AD311" s="264" t="s">
        <v>23</v>
      </c>
      <c r="AE311" s="256" t="s">
        <v>1700</v>
      </c>
      <c r="AF311" s="838"/>
      <c r="AG311" s="205"/>
      <c r="AH311" s="383"/>
      <c r="AI311" s="543"/>
      <c r="AJ311" s="548"/>
      <c r="AK311" s="548"/>
      <c r="AL311" s="198"/>
      <c r="AM311" s="320"/>
      <c r="AN311" s="61"/>
      <c r="AO311" s="61"/>
      <c r="AP311" s="198"/>
      <c r="AQ311" s="61"/>
    </row>
    <row r="312" spans="1:43" s="47" customFormat="1" ht="30.75" customHeight="1">
      <c r="A312" s="253">
        <v>29</v>
      </c>
      <c r="B312" s="254" t="s">
        <v>1073</v>
      </c>
      <c r="C312" s="255" t="s">
        <v>1074</v>
      </c>
      <c r="D312" s="278" t="str">
        <f>VLOOKUP(B312,Attendance!$B$6:$D$385,3,0)</f>
        <v>Sr. Territory Sales Officer</v>
      </c>
      <c r="E312" s="278" t="s">
        <v>203</v>
      </c>
      <c r="F312" s="523">
        <v>45231</v>
      </c>
      <c r="G312" s="257">
        <f>VLOOKUP(B312,Attendance!$B$6:$G$386,6,0)</f>
        <v>31</v>
      </c>
      <c r="H312" s="258">
        <f>VLOOKUP(B$8:B$380,Attendance!$B$6:$L$386,11,0)</f>
        <v>0</v>
      </c>
      <c r="I312" s="257">
        <f t="shared" si="298"/>
        <v>31</v>
      </c>
      <c r="J312" s="258">
        <f t="shared" si="299"/>
        <v>806.45161290322585</v>
      </c>
      <c r="K312" s="72">
        <v>25000</v>
      </c>
      <c r="L312" s="72">
        <f t="shared" si="300"/>
        <v>15000</v>
      </c>
      <c r="M312" s="72">
        <f t="shared" si="301"/>
        <v>7500</v>
      </c>
      <c r="N312" s="72">
        <f t="shared" si="302"/>
        <v>1500</v>
      </c>
      <c r="O312" s="72">
        <f t="shared" si="303"/>
        <v>1000</v>
      </c>
      <c r="P312" s="259"/>
      <c r="Q312" s="260">
        <f t="shared" si="304"/>
        <v>25000</v>
      </c>
      <c r="R312" s="260">
        <f t="shared" si="305"/>
        <v>25000</v>
      </c>
      <c r="S312" s="261"/>
      <c r="T312" s="261"/>
      <c r="U312" s="263"/>
      <c r="V312" s="263">
        <f t="shared" si="306"/>
        <v>25000</v>
      </c>
      <c r="W312" s="72"/>
      <c r="X312" s="261">
        <f>IFERROR(VLOOKUP(B312,'Lunch bill'!$B$6:$H$30,7,0),0)</f>
        <v>0</v>
      </c>
      <c r="Y312" s="261">
        <f t="shared" si="307"/>
        <v>750</v>
      </c>
      <c r="Z312" s="261">
        <f>IFERROR(VLOOKUP(B312,'55 Bike '!$B$7:$J$139,9,0),0)</f>
        <v>842</v>
      </c>
      <c r="AA312" s="261"/>
      <c r="AB312" s="73">
        <f t="shared" si="308"/>
        <v>1592</v>
      </c>
      <c r="AC312" s="73">
        <f t="shared" si="309"/>
        <v>23408</v>
      </c>
      <c r="AD312" s="264" t="s">
        <v>23</v>
      </c>
      <c r="AE312" s="256" t="s">
        <v>1273</v>
      </c>
      <c r="AF312" s="838"/>
      <c r="AG312" s="205"/>
      <c r="AH312" s="383"/>
      <c r="AI312" s="543"/>
      <c r="AJ312" s="548"/>
      <c r="AK312" s="548"/>
      <c r="AL312" s="198"/>
      <c r="AM312" s="320"/>
      <c r="AN312" s="61"/>
      <c r="AO312" s="61"/>
      <c r="AP312" s="198"/>
      <c r="AQ312" s="61"/>
    </row>
    <row r="313" spans="1:43" s="47" customFormat="1" ht="30.75" customHeight="1">
      <c r="A313" s="253">
        <v>30</v>
      </c>
      <c r="B313" s="254" t="s">
        <v>1112</v>
      </c>
      <c r="C313" s="255" t="s">
        <v>1113</v>
      </c>
      <c r="D313" s="278" t="str">
        <f>VLOOKUP(B313,Attendance!$B$6:$D$385,3,0)</f>
        <v>Deputy Manager</v>
      </c>
      <c r="E313" s="278" t="s">
        <v>203</v>
      </c>
      <c r="F313" s="523">
        <v>45262</v>
      </c>
      <c r="G313" s="257">
        <f>VLOOKUP(B313,Attendance!$B$6:$G$386,6,0)</f>
        <v>31</v>
      </c>
      <c r="H313" s="258">
        <f>VLOOKUP(B$8:B$380,Attendance!$B$6:$L$386,11,0)</f>
        <v>0</v>
      </c>
      <c r="I313" s="257">
        <f t="shared" si="298"/>
        <v>31</v>
      </c>
      <c r="J313" s="258">
        <f t="shared" si="299"/>
        <v>1935.483870967742</v>
      </c>
      <c r="K313" s="72">
        <v>60000</v>
      </c>
      <c r="L313" s="72">
        <f t="shared" si="300"/>
        <v>36000</v>
      </c>
      <c r="M313" s="72">
        <f t="shared" si="301"/>
        <v>18000</v>
      </c>
      <c r="N313" s="72">
        <f t="shared" si="302"/>
        <v>3600</v>
      </c>
      <c r="O313" s="72">
        <f t="shared" si="303"/>
        <v>2400</v>
      </c>
      <c r="P313" s="259"/>
      <c r="Q313" s="260">
        <f t="shared" si="304"/>
        <v>60000</v>
      </c>
      <c r="R313" s="260">
        <f t="shared" si="305"/>
        <v>60000</v>
      </c>
      <c r="S313" s="261"/>
      <c r="T313" s="261"/>
      <c r="U313" s="263"/>
      <c r="V313" s="263">
        <f t="shared" si="306"/>
        <v>60000</v>
      </c>
      <c r="W313" s="72">
        <v>417</v>
      </c>
      <c r="X313" s="261">
        <f>IFERROR(VLOOKUP(B313,'Lunch bill'!$B$6:$H$30,7,0),0)</f>
        <v>375</v>
      </c>
      <c r="Y313" s="261">
        <f t="shared" si="307"/>
        <v>1800</v>
      </c>
      <c r="Z313" s="261">
        <f>IFERROR(VLOOKUP(B313,'55 Bike '!$B$7:$J$139,9,0),0)</f>
        <v>0</v>
      </c>
      <c r="AA313" s="261"/>
      <c r="AB313" s="73">
        <f t="shared" si="308"/>
        <v>2592</v>
      </c>
      <c r="AC313" s="73">
        <f t="shared" si="309"/>
        <v>57408</v>
      </c>
      <c r="AD313" s="264" t="s">
        <v>23</v>
      </c>
      <c r="AE313" s="256" t="s">
        <v>1123</v>
      </c>
      <c r="AF313" s="838"/>
      <c r="AG313" s="205"/>
      <c r="AH313" s="383"/>
      <c r="AI313" s="543"/>
      <c r="AJ313" s="548"/>
      <c r="AK313" s="548"/>
      <c r="AL313" s="198"/>
      <c r="AM313" s="320"/>
      <c r="AN313" s="61"/>
      <c r="AO313" s="61"/>
      <c r="AP313" s="198"/>
      <c r="AQ313" s="61"/>
    </row>
    <row r="314" spans="1:43" s="47" customFormat="1" ht="30.75" customHeight="1">
      <c r="A314" s="253">
        <v>31</v>
      </c>
      <c r="B314" s="254" t="s">
        <v>1172</v>
      </c>
      <c r="C314" s="255" t="s">
        <v>1173</v>
      </c>
      <c r="D314" s="278" t="str">
        <f>VLOOKUP(B314,Attendance!$B$6:$D$385,3,0)</f>
        <v>Sr. Territory Sales Officer</v>
      </c>
      <c r="E314" s="278" t="s">
        <v>203</v>
      </c>
      <c r="F314" s="523">
        <v>45346</v>
      </c>
      <c r="G314" s="257">
        <f>VLOOKUP(B314,Attendance!$B$6:$G$386,6,0)</f>
        <v>31</v>
      </c>
      <c r="H314" s="258">
        <f>VLOOKUP(B$8:B$380,Attendance!$B$6:$L$386,11,0)</f>
        <v>0</v>
      </c>
      <c r="I314" s="257">
        <f t="shared" si="298"/>
        <v>31</v>
      </c>
      <c r="J314" s="258">
        <f t="shared" si="299"/>
        <v>967.74193548387098</v>
      </c>
      <c r="K314" s="72">
        <v>30000</v>
      </c>
      <c r="L314" s="72">
        <f t="shared" si="300"/>
        <v>18000</v>
      </c>
      <c r="M314" s="72">
        <f t="shared" si="301"/>
        <v>9000</v>
      </c>
      <c r="N314" s="72">
        <f t="shared" si="302"/>
        <v>1800</v>
      </c>
      <c r="O314" s="72">
        <f t="shared" si="303"/>
        <v>1200</v>
      </c>
      <c r="P314" s="259"/>
      <c r="Q314" s="260">
        <f t="shared" si="304"/>
        <v>30000</v>
      </c>
      <c r="R314" s="260">
        <f t="shared" si="305"/>
        <v>30000</v>
      </c>
      <c r="S314" s="261"/>
      <c r="T314" s="261"/>
      <c r="U314" s="263"/>
      <c r="V314" s="263">
        <f t="shared" si="306"/>
        <v>30000</v>
      </c>
      <c r="W314" s="72"/>
      <c r="X314" s="261">
        <f>IFERROR(VLOOKUP(B314,'Lunch bill'!$B$6:$H$30,7,0),0)</f>
        <v>0</v>
      </c>
      <c r="Y314" s="261">
        <f t="shared" si="307"/>
        <v>0</v>
      </c>
      <c r="Z314" s="261">
        <f>IFERROR(VLOOKUP(B314,'55 Bike '!$B$7:$J$139,9,0),0)</f>
        <v>2175</v>
      </c>
      <c r="AA314" s="261"/>
      <c r="AB314" s="73">
        <f t="shared" si="308"/>
        <v>2175</v>
      </c>
      <c r="AC314" s="73">
        <f t="shared" si="309"/>
        <v>27825</v>
      </c>
      <c r="AD314" s="264" t="s">
        <v>23</v>
      </c>
      <c r="AE314" s="256" t="s">
        <v>1178</v>
      </c>
      <c r="AF314" s="838"/>
      <c r="AG314" s="205"/>
      <c r="AH314" s="383"/>
      <c r="AI314" s="543"/>
      <c r="AJ314" s="548"/>
      <c r="AK314" s="548"/>
      <c r="AL314" s="198"/>
      <c r="AM314" s="320"/>
      <c r="AN314" s="61"/>
      <c r="AO314" s="61"/>
      <c r="AP314" s="198"/>
      <c r="AQ314" s="61"/>
    </row>
    <row r="315" spans="1:43" s="47" customFormat="1" ht="30.75" customHeight="1">
      <c r="A315" s="253">
        <v>32</v>
      </c>
      <c r="B315" s="254" t="s">
        <v>1188</v>
      </c>
      <c r="C315" s="255" t="s">
        <v>1189</v>
      </c>
      <c r="D315" s="278" t="str">
        <f>VLOOKUP(B315,Attendance!$B$6:$D$385,3,0)</f>
        <v>Sr. Territory Sales Officer</v>
      </c>
      <c r="E315" s="278" t="s">
        <v>203</v>
      </c>
      <c r="F315" s="523">
        <v>45353</v>
      </c>
      <c r="G315" s="257">
        <f>VLOOKUP(B315,Attendance!$B$6:$G$386,6,0)</f>
        <v>31</v>
      </c>
      <c r="H315" s="258">
        <f>VLOOKUP(B$8:B$380,Attendance!$B$6:$L$386,11,0)</f>
        <v>0</v>
      </c>
      <c r="I315" s="257">
        <f t="shared" si="298"/>
        <v>31</v>
      </c>
      <c r="J315" s="258">
        <f t="shared" si="299"/>
        <v>1032.258064516129</v>
      </c>
      <c r="K315" s="72">
        <v>32000</v>
      </c>
      <c r="L315" s="72">
        <f t="shared" si="300"/>
        <v>19200</v>
      </c>
      <c r="M315" s="72">
        <f t="shared" si="301"/>
        <v>9600</v>
      </c>
      <c r="N315" s="72">
        <f t="shared" si="302"/>
        <v>1920</v>
      </c>
      <c r="O315" s="72">
        <f t="shared" si="303"/>
        <v>1280</v>
      </c>
      <c r="P315" s="259"/>
      <c r="Q315" s="260">
        <f t="shared" si="304"/>
        <v>32000</v>
      </c>
      <c r="R315" s="260">
        <f t="shared" si="305"/>
        <v>32000</v>
      </c>
      <c r="S315" s="261"/>
      <c r="T315" s="261"/>
      <c r="U315" s="263"/>
      <c r="V315" s="263">
        <f t="shared" si="306"/>
        <v>32000</v>
      </c>
      <c r="W315" s="72"/>
      <c r="X315" s="261">
        <f>IFERROR(VLOOKUP(B315,'Lunch bill'!$B$6:$H$30,7,0),0)</f>
        <v>0</v>
      </c>
      <c r="Y315" s="261">
        <f t="shared" si="307"/>
        <v>0</v>
      </c>
      <c r="Z315" s="261">
        <f>IFERROR(VLOOKUP(B315,'55 Bike '!$B$7:$J$139,9,0),0)</f>
        <v>0</v>
      </c>
      <c r="AA315" s="261"/>
      <c r="AB315" s="73">
        <f t="shared" si="308"/>
        <v>0</v>
      </c>
      <c r="AC315" s="73">
        <f t="shared" si="309"/>
        <v>32000</v>
      </c>
      <c r="AD315" s="264" t="s">
        <v>23</v>
      </c>
      <c r="AE315" s="256" t="s">
        <v>1268</v>
      </c>
      <c r="AF315" s="838"/>
      <c r="AG315" s="205"/>
      <c r="AH315" s="383"/>
      <c r="AI315" s="543"/>
      <c r="AJ315" s="548"/>
      <c r="AK315" s="548"/>
      <c r="AL315" s="198"/>
      <c r="AM315" s="320"/>
      <c r="AN315" s="61"/>
      <c r="AO315" s="61"/>
      <c r="AP315" s="198"/>
      <c r="AQ315" s="61"/>
    </row>
    <row r="316" spans="1:43" s="47" customFormat="1" ht="30.75" customHeight="1">
      <c r="A316" s="253">
        <v>33</v>
      </c>
      <c r="B316" s="254" t="s">
        <v>1190</v>
      </c>
      <c r="C316" s="255" t="s">
        <v>1191</v>
      </c>
      <c r="D316" s="278" t="str">
        <f>VLOOKUP(B316,Attendance!$B$6:$D$385,3,0)</f>
        <v>Assistant Territory Manager</v>
      </c>
      <c r="E316" s="278" t="s">
        <v>203</v>
      </c>
      <c r="F316" s="523">
        <v>45353</v>
      </c>
      <c r="G316" s="257">
        <f>VLOOKUP(B316,Attendance!$B$6:$G$386,6,0)</f>
        <v>31</v>
      </c>
      <c r="H316" s="258">
        <f>VLOOKUP(B$8:B$380,Attendance!$B$6:$L$386,11,0)</f>
        <v>0</v>
      </c>
      <c r="I316" s="257">
        <f t="shared" si="298"/>
        <v>31</v>
      </c>
      <c r="J316" s="258">
        <f t="shared" si="299"/>
        <v>1064.516129032258</v>
      </c>
      <c r="K316" s="72">
        <v>33000</v>
      </c>
      <c r="L316" s="72">
        <f t="shared" si="300"/>
        <v>19800</v>
      </c>
      <c r="M316" s="72">
        <f t="shared" si="301"/>
        <v>9900</v>
      </c>
      <c r="N316" s="72">
        <f t="shared" si="302"/>
        <v>1980</v>
      </c>
      <c r="O316" s="72">
        <f t="shared" si="303"/>
        <v>1320</v>
      </c>
      <c r="P316" s="259"/>
      <c r="Q316" s="260">
        <f t="shared" si="304"/>
        <v>33000</v>
      </c>
      <c r="R316" s="260">
        <f t="shared" si="305"/>
        <v>33000</v>
      </c>
      <c r="S316" s="261"/>
      <c r="T316" s="261"/>
      <c r="U316" s="263"/>
      <c r="V316" s="263">
        <f t="shared" si="306"/>
        <v>33000</v>
      </c>
      <c r="W316" s="72"/>
      <c r="X316" s="261">
        <f>IFERROR(VLOOKUP(B316,'Lunch bill'!$B$6:$H$30,7,0),0)</f>
        <v>0</v>
      </c>
      <c r="Y316" s="261">
        <f t="shared" si="307"/>
        <v>0</v>
      </c>
      <c r="Z316" s="261">
        <f>IFERROR(VLOOKUP(B316,'55 Bike '!$B$7:$J$139,9,0),0)</f>
        <v>0</v>
      </c>
      <c r="AA316" s="261"/>
      <c r="AB316" s="73">
        <f t="shared" si="308"/>
        <v>0</v>
      </c>
      <c r="AC316" s="73">
        <f t="shared" si="309"/>
        <v>33000</v>
      </c>
      <c r="AD316" s="264" t="s">
        <v>23</v>
      </c>
      <c r="AE316" s="256" t="s">
        <v>1270</v>
      </c>
      <c r="AF316" s="838"/>
      <c r="AG316" s="205"/>
      <c r="AH316" s="383"/>
      <c r="AI316" s="543"/>
      <c r="AJ316" s="548"/>
      <c r="AK316" s="548"/>
      <c r="AL316" s="198"/>
      <c r="AM316" s="320"/>
      <c r="AN316" s="61"/>
      <c r="AO316" s="61"/>
      <c r="AP316" s="198"/>
      <c r="AQ316" s="61"/>
    </row>
    <row r="317" spans="1:43" s="47" customFormat="1" ht="30.75" customHeight="1">
      <c r="A317" s="253">
        <v>34</v>
      </c>
      <c r="B317" s="254" t="s">
        <v>1192</v>
      </c>
      <c r="C317" s="255" t="s">
        <v>1193</v>
      </c>
      <c r="D317" s="278" t="str">
        <f>VLOOKUP(B317,Attendance!$B$6:$D$385,3,0)</f>
        <v>Sr. Territory Sales Officer</v>
      </c>
      <c r="E317" s="278" t="s">
        <v>203</v>
      </c>
      <c r="F317" s="523">
        <v>45353</v>
      </c>
      <c r="G317" s="257">
        <f>VLOOKUP(B317,Attendance!$B$6:$G$386,6,0)</f>
        <v>31</v>
      </c>
      <c r="H317" s="258">
        <f>VLOOKUP(B$8:B$380,Attendance!$B$6:$L$386,11,0)</f>
        <v>0</v>
      </c>
      <c r="I317" s="257">
        <f t="shared" si="298"/>
        <v>31</v>
      </c>
      <c r="J317" s="258">
        <f t="shared" si="299"/>
        <v>1032.258064516129</v>
      </c>
      <c r="K317" s="72">
        <v>32000</v>
      </c>
      <c r="L317" s="72">
        <f t="shared" si="300"/>
        <v>19200</v>
      </c>
      <c r="M317" s="72">
        <f t="shared" si="301"/>
        <v>9600</v>
      </c>
      <c r="N317" s="72">
        <f t="shared" si="302"/>
        <v>1920</v>
      </c>
      <c r="O317" s="72">
        <f t="shared" si="303"/>
        <v>1280</v>
      </c>
      <c r="P317" s="259"/>
      <c r="Q317" s="260">
        <f t="shared" si="304"/>
        <v>32000</v>
      </c>
      <c r="R317" s="260">
        <f t="shared" si="305"/>
        <v>32000</v>
      </c>
      <c r="S317" s="261"/>
      <c r="T317" s="261"/>
      <c r="U317" s="263"/>
      <c r="V317" s="263">
        <f t="shared" si="306"/>
        <v>32000</v>
      </c>
      <c r="W317" s="72"/>
      <c r="X317" s="261">
        <f>IFERROR(VLOOKUP(B317,'Lunch bill'!$B$6:$H$30,7,0),0)</f>
        <v>0</v>
      </c>
      <c r="Y317" s="261">
        <f t="shared" si="307"/>
        <v>0</v>
      </c>
      <c r="Z317" s="261">
        <f>IFERROR(VLOOKUP(B317,'55 Bike '!$B$7:$J$139,9,0),0)</f>
        <v>0</v>
      </c>
      <c r="AA317" s="261"/>
      <c r="AB317" s="73">
        <f t="shared" si="308"/>
        <v>0</v>
      </c>
      <c r="AC317" s="73">
        <f t="shared" si="309"/>
        <v>32000</v>
      </c>
      <c r="AD317" s="264" t="s">
        <v>23</v>
      </c>
      <c r="AE317" s="256" t="s">
        <v>1255</v>
      </c>
      <c r="AF317" s="838"/>
      <c r="AG317" s="205"/>
      <c r="AH317" s="383"/>
      <c r="AI317" s="543"/>
      <c r="AJ317" s="548"/>
      <c r="AK317" s="548"/>
      <c r="AL317" s="198"/>
      <c r="AM317" s="320"/>
      <c r="AN317" s="61"/>
      <c r="AO317" s="61"/>
      <c r="AP317" s="198"/>
      <c r="AQ317" s="61"/>
    </row>
    <row r="318" spans="1:43" s="47" customFormat="1" ht="30.75" customHeight="1">
      <c r="A318" s="253">
        <v>35</v>
      </c>
      <c r="B318" s="254" t="s">
        <v>1196</v>
      </c>
      <c r="C318" s="255" t="s">
        <v>1197</v>
      </c>
      <c r="D318" s="278" t="str">
        <f>VLOOKUP(B318,Attendance!$B$6:$D$385,3,0)</f>
        <v>Assistant Territory Manager</v>
      </c>
      <c r="E318" s="278" t="s">
        <v>203</v>
      </c>
      <c r="F318" s="523">
        <v>45353</v>
      </c>
      <c r="G318" s="257">
        <f>VLOOKUP(B318,Attendance!$B$6:$G$386,6,0)</f>
        <v>31</v>
      </c>
      <c r="H318" s="258">
        <f>VLOOKUP(B$8:B$380,Attendance!$B$6:$L$386,11,0)</f>
        <v>0</v>
      </c>
      <c r="I318" s="257">
        <f t="shared" si="298"/>
        <v>31</v>
      </c>
      <c r="J318" s="258">
        <f t="shared" si="299"/>
        <v>1064.516129032258</v>
      </c>
      <c r="K318" s="72">
        <v>33000</v>
      </c>
      <c r="L318" s="72">
        <f t="shared" si="300"/>
        <v>19800</v>
      </c>
      <c r="M318" s="72">
        <f t="shared" si="301"/>
        <v>9900</v>
      </c>
      <c r="N318" s="72">
        <f t="shared" si="302"/>
        <v>1980</v>
      </c>
      <c r="O318" s="72">
        <f t="shared" si="303"/>
        <v>1320</v>
      </c>
      <c r="P318" s="259"/>
      <c r="Q318" s="260">
        <f t="shared" si="304"/>
        <v>33000</v>
      </c>
      <c r="R318" s="260">
        <f t="shared" si="305"/>
        <v>33000</v>
      </c>
      <c r="S318" s="261"/>
      <c r="T318" s="261"/>
      <c r="U318" s="263"/>
      <c r="V318" s="263">
        <f t="shared" si="306"/>
        <v>33000</v>
      </c>
      <c r="W318" s="72"/>
      <c r="X318" s="261">
        <f>IFERROR(VLOOKUP(B318,'Lunch bill'!$B$6:$H$30,7,0),0)</f>
        <v>0</v>
      </c>
      <c r="Y318" s="261">
        <f t="shared" si="307"/>
        <v>0</v>
      </c>
      <c r="Z318" s="261">
        <f>IFERROR(VLOOKUP(B318,'55 Bike '!$B$7:$J$139,9,0),0)</f>
        <v>0</v>
      </c>
      <c r="AA318" s="261"/>
      <c r="AB318" s="73">
        <f t="shared" si="308"/>
        <v>0</v>
      </c>
      <c r="AC318" s="73">
        <f t="shared" si="309"/>
        <v>33000</v>
      </c>
      <c r="AD318" s="264" t="s">
        <v>23</v>
      </c>
      <c r="AE318" s="256" t="s">
        <v>1256</v>
      </c>
      <c r="AF318" s="838"/>
      <c r="AG318" s="205"/>
      <c r="AH318" s="383"/>
      <c r="AI318" s="543"/>
      <c r="AJ318" s="548"/>
      <c r="AK318" s="548"/>
      <c r="AL318" s="198"/>
      <c r="AM318" s="320"/>
      <c r="AN318" s="61"/>
      <c r="AO318" s="61"/>
      <c r="AP318" s="198"/>
      <c r="AQ318" s="61"/>
    </row>
    <row r="319" spans="1:43" s="47" customFormat="1" ht="30.75" customHeight="1">
      <c r="A319" s="253">
        <v>36</v>
      </c>
      <c r="B319" s="254" t="s">
        <v>1198</v>
      </c>
      <c r="C319" s="255" t="s">
        <v>1199</v>
      </c>
      <c r="D319" s="278" t="str">
        <f>VLOOKUP(B319,Attendance!$B$6:$D$385,3,0)</f>
        <v>Sr. Territory Sales Officer</v>
      </c>
      <c r="E319" s="278" t="s">
        <v>203</v>
      </c>
      <c r="F319" s="523">
        <v>45353</v>
      </c>
      <c r="G319" s="257">
        <f>VLOOKUP(B319,Attendance!$B$6:$G$386,6,0)</f>
        <v>31</v>
      </c>
      <c r="H319" s="258">
        <f>VLOOKUP(B$8:B$380,Attendance!$B$6:$L$386,11,0)</f>
        <v>0</v>
      </c>
      <c r="I319" s="257">
        <f t="shared" si="298"/>
        <v>31</v>
      </c>
      <c r="J319" s="258">
        <f t="shared" si="299"/>
        <v>1064.516129032258</v>
      </c>
      <c r="K319" s="72">
        <v>33000</v>
      </c>
      <c r="L319" s="72">
        <f t="shared" si="300"/>
        <v>19800</v>
      </c>
      <c r="M319" s="72">
        <f t="shared" si="301"/>
        <v>9900</v>
      </c>
      <c r="N319" s="72">
        <f t="shared" si="302"/>
        <v>1980</v>
      </c>
      <c r="O319" s="72">
        <f t="shared" si="303"/>
        <v>1320</v>
      </c>
      <c r="P319" s="259"/>
      <c r="Q319" s="260">
        <f t="shared" si="304"/>
        <v>33000</v>
      </c>
      <c r="R319" s="260">
        <f t="shared" si="305"/>
        <v>33000</v>
      </c>
      <c r="S319" s="261"/>
      <c r="T319" s="261"/>
      <c r="U319" s="263"/>
      <c r="V319" s="263">
        <f t="shared" si="306"/>
        <v>33000</v>
      </c>
      <c r="W319" s="72"/>
      <c r="X319" s="261">
        <f>IFERROR(VLOOKUP(B319,'Lunch bill'!$B$6:$H$30,7,0),0)</f>
        <v>0</v>
      </c>
      <c r="Y319" s="261">
        <f t="shared" si="307"/>
        <v>0</v>
      </c>
      <c r="Z319" s="261">
        <f>IFERROR(VLOOKUP(B319,'55 Bike '!$B$7:$J$139,9,0),0)</f>
        <v>2175</v>
      </c>
      <c r="AA319" s="261"/>
      <c r="AB319" s="73">
        <f t="shared" si="308"/>
        <v>2175</v>
      </c>
      <c r="AC319" s="73">
        <f t="shared" si="309"/>
        <v>30825</v>
      </c>
      <c r="AD319" s="264" t="s">
        <v>23</v>
      </c>
      <c r="AE319" s="256" t="s">
        <v>1257</v>
      </c>
      <c r="AF319" s="838"/>
      <c r="AG319" s="205"/>
      <c r="AH319" s="383"/>
      <c r="AI319" s="543"/>
      <c r="AJ319" s="548"/>
      <c r="AK319" s="548"/>
      <c r="AL319" s="198"/>
      <c r="AM319" s="320"/>
      <c r="AN319" s="61"/>
      <c r="AO319" s="61"/>
      <c r="AP319" s="198"/>
      <c r="AQ319" s="61"/>
    </row>
    <row r="320" spans="1:43" s="47" customFormat="1" ht="30.75" customHeight="1">
      <c r="A320" s="253">
        <v>37</v>
      </c>
      <c r="B320" s="254" t="s">
        <v>1200</v>
      </c>
      <c r="C320" s="255" t="s">
        <v>1201</v>
      </c>
      <c r="D320" s="278" t="str">
        <f>VLOOKUP(B320,Attendance!$B$6:$D$385,3,0)</f>
        <v>Sr. Territory Sales Officer</v>
      </c>
      <c r="E320" s="278" t="s">
        <v>203</v>
      </c>
      <c r="F320" s="523">
        <v>45353</v>
      </c>
      <c r="G320" s="257">
        <f>VLOOKUP(B320,Attendance!$B$6:$G$386,6,0)</f>
        <v>31</v>
      </c>
      <c r="H320" s="258">
        <f>VLOOKUP(B$8:B$380,Attendance!$B$6:$L$386,11,0)</f>
        <v>0</v>
      </c>
      <c r="I320" s="257">
        <f t="shared" si="298"/>
        <v>31</v>
      </c>
      <c r="J320" s="258">
        <f t="shared" si="299"/>
        <v>967.74193548387098</v>
      </c>
      <c r="K320" s="72">
        <v>30000</v>
      </c>
      <c r="L320" s="72">
        <f t="shared" si="300"/>
        <v>18000</v>
      </c>
      <c r="M320" s="72">
        <f t="shared" si="301"/>
        <v>9000</v>
      </c>
      <c r="N320" s="72">
        <f t="shared" si="302"/>
        <v>1800</v>
      </c>
      <c r="O320" s="72">
        <f t="shared" si="303"/>
        <v>1200</v>
      </c>
      <c r="P320" s="259"/>
      <c r="Q320" s="260">
        <f t="shared" si="304"/>
        <v>30000</v>
      </c>
      <c r="R320" s="260">
        <f t="shared" si="305"/>
        <v>30000</v>
      </c>
      <c r="S320" s="261"/>
      <c r="T320" s="261"/>
      <c r="U320" s="263"/>
      <c r="V320" s="263">
        <f t="shared" si="306"/>
        <v>30000</v>
      </c>
      <c r="W320" s="72"/>
      <c r="X320" s="261">
        <f>IFERROR(VLOOKUP(B320,'Lunch bill'!$B$6:$H$30,7,0),0)</f>
        <v>0</v>
      </c>
      <c r="Y320" s="261">
        <f t="shared" si="307"/>
        <v>0</v>
      </c>
      <c r="Z320" s="261">
        <f>IFERROR(VLOOKUP(B320,'55 Bike '!$B$7:$J$139,9,0),0)</f>
        <v>0</v>
      </c>
      <c r="AA320" s="261"/>
      <c r="AB320" s="73">
        <f t="shared" si="308"/>
        <v>0</v>
      </c>
      <c r="AC320" s="73">
        <f t="shared" si="309"/>
        <v>30000</v>
      </c>
      <c r="AD320" s="264" t="s">
        <v>23</v>
      </c>
      <c r="AE320" s="256" t="s">
        <v>1274</v>
      </c>
      <c r="AF320" s="838"/>
      <c r="AG320" s="205"/>
      <c r="AH320" s="383"/>
      <c r="AI320" s="543"/>
      <c r="AJ320" s="548"/>
      <c r="AK320" s="548"/>
      <c r="AL320" s="198"/>
      <c r="AM320" s="320"/>
      <c r="AN320" s="61"/>
      <c r="AO320" s="61"/>
      <c r="AP320" s="198"/>
      <c r="AQ320" s="61"/>
    </row>
    <row r="321" spans="1:43" s="47" customFormat="1" ht="30.75" customHeight="1">
      <c r="A321" s="253">
        <v>38</v>
      </c>
      <c r="B321" s="254" t="s">
        <v>1205</v>
      </c>
      <c r="C321" s="255" t="s">
        <v>1206</v>
      </c>
      <c r="D321" s="278" t="str">
        <f>VLOOKUP(B321,Attendance!$B$6:$D$385,3,0)</f>
        <v>Sr. Territory Sales Officer</v>
      </c>
      <c r="E321" s="278" t="s">
        <v>203</v>
      </c>
      <c r="F321" s="523">
        <v>45356</v>
      </c>
      <c r="G321" s="257">
        <f>VLOOKUP(B321,Attendance!$B$6:$G$386,6,0)</f>
        <v>31</v>
      </c>
      <c r="H321" s="258">
        <f>VLOOKUP(B$8:B$380,Attendance!$B$6:$L$386,11,0)</f>
        <v>0</v>
      </c>
      <c r="I321" s="257">
        <f t="shared" si="298"/>
        <v>31</v>
      </c>
      <c r="J321" s="258">
        <f t="shared" si="299"/>
        <v>967.74193548387098</v>
      </c>
      <c r="K321" s="72">
        <v>30000</v>
      </c>
      <c r="L321" s="72">
        <f t="shared" si="300"/>
        <v>18000</v>
      </c>
      <c r="M321" s="72">
        <f t="shared" si="301"/>
        <v>9000</v>
      </c>
      <c r="N321" s="72">
        <f t="shared" si="302"/>
        <v>1800</v>
      </c>
      <c r="O321" s="72">
        <f t="shared" si="303"/>
        <v>1200</v>
      </c>
      <c r="P321" s="259"/>
      <c r="Q321" s="260">
        <f t="shared" si="304"/>
        <v>30000</v>
      </c>
      <c r="R321" s="260">
        <f t="shared" si="305"/>
        <v>30000</v>
      </c>
      <c r="S321" s="261"/>
      <c r="T321" s="261"/>
      <c r="U321" s="263"/>
      <c r="V321" s="263">
        <f t="shared" si="306"/>
        <v>30000</v>
      </c>
      <c r="W321" s="72"/>
      <c r="X321" s="261">
        <f>IFERROR(VLOOKUP(B321,'Lunch bill'!$B$6:$H$30,7,0),0)</f>
        <v>0</v>
      </c>
      <c r="Y321" s="261">
        <f t="shared" si="307"/>
        <v>0</v>
      </c>
      <c r="Z321" s="261">
        <f>IFERROR(VLOOKUP(B321,'55 Bike '!$B$7:$J$139,9,0),0)</f>
        <v>2175</v>
      </c>
      <c r="AA321" s="261"/>
      <c r="AB321" s="73">
        <f t="shared" si="308"/>
        <v>2175</v>
      </c>
      <c r="AC321" s="73">
        <f t="shared" si="309"/>
        <v>27825</v>
      </c>
      <c r="AD321" s="264" t="s">
        <v>23</v>
      </c>
      <c r="AE321" s="256" t="s">
        <v>1276</v>
      </c>
      <c r="AF321" s="838"/>
      <c r="AG321" s="205"/>
      <c r="AH321" s="383"/>
      <c r="AI321" s="543"/>
      <c r="AJ321" s="548"/>
      <c r="AK321" s="548"/>
      <c r="AL321" s="198"/>
      <c r="AM321" s="320"/>
      <c r="AN321" s="61"/>
      <c r="AO321" s="61"/>
      <c r="AP321" s="198"/>
      <c r="AQ321" s="61"/>
    </row>
    <row r="322" spans="1:43" s="47" customFormat="1" ht="30.75" customHeight="1">
      <c r="A322" s="253">
        <v>39</v>
      </c>
      <c r="B322" s="254" t="s">
        <v>1366</v>
      </c>
      <c r="C322" s="255" t="s">
        <v>1367</v>
      </c>
      <c r="D322" s="278" t="s">
        <v>1368</v>
      </c>
      <c r="E322" s="278" t="s">
        <v>203</v>
      </c>
      <c r="F322" s="523">
        <v>45414</v>
      </c>
      <c r="G322" s="257">
        <f>VLOOKUP(B322,Attendance!$B$6:$G$386,6,0)</f>
        <v>31</v>
      </c>
      <c r="H322" s="258">
        <f>VLOOKUP(B$8:B$380,Attendance!$B$6:$L$386,11,0)</f>
        <v>0</v>
      </c>
      <c r="I322" s="257">
        <f t="shared" si="298"/>
        <v>31</v>
      </c>
      <c r="J322" s="258">
        <f t="shared" si="299"/>
        <v>1419.3548387096773</v>
      </c>
      <c r="K322" s="72">
        <v>44000</v>
      </c>
      <c r="L322" s="72">
        <f t="shared" si="300"/>
        <v>26400</v>
      </c>
      <c r="M322" s="72">
        <f t="shared" si="301"/>
        <v>13200</v>
      </c>
      <c r="N322" s="72">
        <f t="shared" si="302"/>
        <v>2640</v>
      </c>
      <c r="O322" s="72">
        <f t="shared" si="303"/>
        <v>1760</v>
      </c>
      <c r="P322" s="259"/>
      <c r="Q322" s="260">
        <f t="shared" si="304"/>
        <v>44000</v>
      </c>
      <c r="R322" s="260">
        <f t="shared" si="305"/>
        <v>44000</v>
      </c>
      <c r="S322" s="261"/>
      <c r="T322" s="261"/>
      <c r="U322" s="263"/>
      <c r="V322" s="263">
        <f t="shared" si="306"/>
        <v>44000</v>
      </c>
      <c r="W322" s="72">
        <v>417</v>
      </c>
      <c r="X322" s="261">
        <f>IFERROR(VLOOKUP(B322,'Lunch bill'!$B$6:$H$30,7,0),0)</f>
        <v>1125</v>
      </c>
      <c r="Y322" s="261">
        <f t="shared" si="307"/>
        <v>0</v>
      </c>
      <c r="Z322" s="261">
        <f>IFERROR(VLOOKUP(B322,'55 Bike '!$B$7:$J$139,9,0),0)</f>
        <v>0</v>
      </c>
      <c r="AA322" s="261"/>
      <c r="AB322" s="73">
        <f t="shared" si="308"/>
        <v>1542</v>
      </c>
      <c r="AC322" s="73">
        <f t="shared" si="309"/>
        <v>42458</v>
      </c>
      <c r="AD322" s="264" t="s">
        <v>23</v>
      </c>
      <c r="AE322" s="256" t="s">
        <v>1389</v>
      </c>
      <c r="AF322" s="838"/>
      <c r="AG322" s="205"/>
      <c r="AH322" s="383"/>
      <c r="AI322" s="543"/>
      <c r="AJ322" s="548"/>
      <c r="AK322" s="548"/>
      <c r="AL322" s="198"/>
      <c r="AM322" s="320"/>
      <c r="AN322" s="61"/>
      <c r="AO322" s="61"/>
      <c r="AP322" s="198"/>
      <c r="AQ322" s="61"/>
    </row>
    <row r="323" spans="1:43" s="47" customFormat="1" ht="30.75" customHeight="1">
      <c r="A323" s="253">
        <v>40</v>
      </c>
      <c r="B323" s="254" t="s">
        <v>1623</v>
      </c>
      <c r="C323" s="255" t="s">
        <v>1624</v>
      </c>
      <c r="D323" s="278" t="s">
        <v>423</v>
      </c>
      <c r="E323" s="278" t="s">
        <v>1184</v>
      </c>
      <c r="F323" s="523">
        <v>44075</v>
      </c>
      <c r="G323" s="257">
        <f>VLOOKUP(B323,Attendance!$B$6:$G$386,6,0)</f>
        <v>31</v>
      </c>
      <c r="H323" s="258">
        <f>VLOOKUP(B$8:B$380,Attendance!$B$6:$L$386,11,0)</f>
        <v>0</v>
      </c>
      <c r="I323" s="257">
        <f t="shared" ref="I323" si="310">G323-H323</f>
        <v>31</v>
      </c>
      <c r="J323" s="258">
        <f t="shared" ref="J323:J327" si="311">Q323/G323</f>
        <v>1941.9354838709678</v>
      </c>
      <c r="K323" s="72">
        <v>60200</v>
      </c>
      <c r="L323" s="72">
        <f t="shared" ref="L323" si="312">K323*60%</f>
        <v>36120</v>
      </c>
      <c r="M323" s="72">
        <f t="shared" ref="M323" si="313">K323*30%</f>
        <v>18060</v>
      </c>
      <c r="N323" s="72">
        <f t="shared" ref="N323" si="314">K323*6%</f>
        <v>3612</v>
      </c>
      <c r="O323" s="72">
        <f t="shared" ref="O323" si="315">K323*4%</f>
        <v>2408</v>
      </c>
      <c r="P323" s="259"/>
      <c r="Q323" s="260">
        <f t="shared" ref="Q323" si="316">SUM(L323:P323)</f>
        <v>60200</v>
      </c>
      <c r="R323" s="260">
        <f t="shared" ref="R323" si="317">ROUND(I323*J323,)</f>
        <v>60200</v>
      </c>
      <c r="S323" s="261"/>
      <c r="T323" s="261"/>
      <c r="U323" s="263"/>
      <c r="V323" s="263">
        <f t="shared" ref="V323" si="318">SUM(R323:U323)</f>
        <v>60200</v>
      </c>
      <c r="W323" s="72">
        <v>500</v>
      </c>
      <c r="X323" s="261">
        <f>IFERROR(VLOOKUP(B323,'Lunch bill'!$B$6:$H$30,7,0),0)</f>
        <v>0</v>
      </c>
      <c r="Y323" s="261">
        <f t="shared" si="307"/>
        <v>1806</v>
      </c>
      <c r="Z323" s="261">
        <f>IFERROR(VLOOKUP(B323,'55 Bike '!$B$7:$J$139,9,0),0)</f>
        <v>0</v>
      </c>
      <c r="AA323" s="261"/>
      <c r="AB323" s="73">
        <f t="shared" ref="AB323" si="319">SUM(W323:AA323)</f>
        <v>2306</v>
      </c>
      <c r="AC323" s="73">
        <f t="shared" ref="AC323" si="320">ROUND(V323-AB323,0)</f>
        <v>57894</v>
      </c>
      <c r="AD323" s="264" t="s">
        <v>23</v>
      </c>
      <c r="AE323" s="256" t="s">
        <v>1633</v>
      </c>
      <c r="AF323" s="838"/>
      <c r="AG323" s="205"/>
      <c r="AH323" s="383"/>
      <c r="AI323" s="543"/>
      <c r="AJ323" s="548"/>
      <c r="AK323" s="548"/>
      <c r="AL323" s="198"/>
      <c r="AM323" s="320"/>
      <c r="AN323" s="61"/>
      <c r="AO323" s="61"/>
      <c r="AP323" s="198"/>
      <c r="AQ323" s="61"/>
    </row>
    <row r="324" spans="1:43" s="47" customFormat="1" ht="30.75" customHeight="1">
      <c r="A324" s="253">
        <v>41</v>
      </c>
      <c r="B324" s="254" t="s">
        <v>1670</v>
      </c>
      <c r="C324" s="255" t="s">
        <v>1671</v>
      </c>
      <c r="D324" s="278" t="s">
        <v>890</v>
      </c>
      <c r="E324" s="278" t="s">
        <v>203</v>
      </c>
      <c r="F324" s="523">
        <v>45577</v>
      </c>
      <c r="G324" s="257">
        <f>VLOOKUP(B324,Attendance!$B$6:$G$386,6,0)</f>
        <v>31</v>
      </c>
      <c r="H324" s="258">
        <f>VLOOKUP(B$8:B$380,Attendance!$B$6:$L$386,11,0)</f>
        <v>0</v>
      </c>
      <c r="I324" s="257">
        <f t="shared" ref="I324:I327" si="321">G324-H324</f>
        <v>31</v>
      </c>
      <c r="J324" s="258">
        <f t="shared" si="311"/>
        <v>580.64516129032256</v>
      </c>
      <c r="K324" s="72">
        <v>18000</v>
      </c>
      <c r="L324" s="72">
        <f t="shared" ref="L324:L327" si="322">K324*60%</f>
        <v>10800</v>
      </c>
      <c r="M324" s="72">
        <f t="shared" ref="M324:M327" si="323">K324*30%</f>
        <v>5400</v>
      </c>
      <c r="N324" s="72">
        <f t="shared" ref="N324:N327" si="324">K324*6%</f>
        <v>1080</v>
      </c>
      <c r="O324" s="72">
        <f t="shared" ref="O324:O327" si="325">K324*4%</f>
        <v>720</v>
      </c>
      <c r="P324" s="259"/>
      <c r="Q324" s="260">
        <f t="shared" ref="Q324:Q327" si="326">SUM(L324:P324)</f>
        <v>18000</v>
      </c>
      <c r="R324" s="260">
        <f t="shared" ref="R324:R327" si="327">ROUND(I324*J324,)</f>
        <v>18000</v>
      </c>
      <c r="S324" s="261"/>
      <c r="T324" s="261"/>
      <c r="U324" s="263"/>
      <c r="V324" s="263">
        <f t="shared" ref="V324:V330" si="328">SUM(R324:U324)</f>
        <v>18000</v>
      </c>
      <c r="W324" s="72"/>
      <c r="X324" s="261">
        <f>IFERROR(VLOOKUP(B324,'Lunch bill'!$B$6:$H$30,7,0),0)</f>
        <v>0</v>
      </c>
      <c r="Y324" s="261">
        <f t="shared" si="307"/>
        <v>0</v>
      </c>
      <c r="Z324" s="261">
        <f>IFERROR(VLOOKUP(B324,'55 Bike '!$B$7:$J$139,9,0),0)</f>
        <v>-2160</v>
      </c>
      <c r="AA324" s="261"/>
      <c r="AB324" s="73">
        <f t="shared" ref="AB324:AB327" si="329">SUM(W324:AA324)</f>
        <v>-2160</v>
      </c>
      <c r="AC324" s="73">
        <f t="shared" ref="AC324:AC330" si="330">ROUND(V324-AB324,0)</f>
        <v>20160</v>
      </c>
      <c r="AD324" s="264" t="s">
        <v>23</v>
      </c>
      <c r="AE324" s="256" t="s">
        <v>1691</v>
      </c>
      <c r="AF324" s="838"/>
      <c r="AG324" s="205"/>
      <c r="AH324" s="383"/>
      <c r="AI324" s="543"/>
      <c r="AJ324" s="548"/>
      <c r="AK324" s="548"/>
      <c r="AL324" s="198"/>
      <c r="AM324" s="320"/>
      <c r="AN324" s="61"/>
      <c r="AO324" s="61"/>
      <c r="AP324" s="198"/>
      <c r="AQ324" s="61"/>
    </row>
    <row r="325" spans="1:43" s="47" customFormat="1" ht="30.75" customHeight="1">
      <c r="A325" s="253">
        <v>42</v>
      </c>
      <c r="B325" s="254" t="s">
        <v>1672</v>
      </c>
      <c r="C325" s="255" t="s">
        <v>1673</v>
      </c>
      <c r="D325" s="278" t="s">
        <v>928</v>
      </c>
      <c r="E325" s="278" t="s">
        <v>203</v>
      </c>
      <c r="F325" s="523">
        <v>45580</v>
      </c>
      <c r="G325" s="257">
        <f>VLOOKUP(B325,Attendance!$B$6:$G$386,6,0)</f>
        <v>31</v>
      </c>
      <c r="H325" s="258">
        <f>VLOOKUP(B$8:B$380,Attendance!$B$6:$L$386,11,0)</f>
        <v>0</v>
      </c>
      <c r="I325" s="257">
        <f t="shared" si="321"/>
        <v>31</v>
      </c>
      <c r="J325" s="258">
        <f t="shared" si="311"/>
        <v>1290.3225806451612</v>
      </c>
      <c r="K325" s="72">
        <v>40000</v>
      </c>
      <c r="L325" s="72">
        <f t="shared" si="322"/>
        <v>24000</v>
      </c>
      <c r="M325" s="72">
        <f t="shared" si="323"/>
        <v>12000</v>
      </c>
      <c r="N325" s="72">
        <f t="shared" si="324"/>
        <v>2400</v>
      </c>
      <c r="O325" s="72">
        <f t="shared" si="325"/>
        <v>1600</v>
      </c>
      <c r="P325" s="259"/>
      <c r="Q325" s="260">
        <f t="shared" si="326"/>
        <v>40000</v>
      </c>
      <c r="R325" s="260">
        <f t="shared" si="327"/>
        <v>40000</v>
      </c>
      <c r="S325" s="261"/>
      <c r="T325" s="261"/>
      <c r="U325" s="263"/>
      <c r="V325" s="263">
        <f t="shared" si="328"/>
        <v>40000</v>
      </c>
      <c r="W325" s="72"/>
      <c r="X325" s="261">
        <f>IFERROR(VLOOKUP(B325,'Lunch bill'!$B$6:$H$30,7,0),0)</f>
        <v>0</v>
      </c>
      <c r="Y325" s="261">
        <f t="shared" si="307"/>
        <v>0</v>
      </c>
      <c r="Z325" s="261">
        <f>IFERROR(VLOOKUP(B325,'55 Bike '!$B$7:$J$139,9,0),0)</f>
        <v>0</v>
      </c>
      <c r="AA325" s="261"/>
      <c r="AB325" s="73">
        <f t="shared" si="329"/>
        <v>0</v>
      </c>
      <c r="AC325" s="73">
        <f t="shared" si="330"/>
        <v>40000</v>
      </c>
      <c r="AD325" s="264" t="s">
        <v>23</v>
      </c>
      <c r="AE325" s="256" t="s">
        <v>1692</v>
      </c>
      <c r="AF325" s="838"/>
      <c r="AG325" s="205"/>
      <c r="AH325" s="383"/>
      <c r="AI325" s="543"/>
      <c r="AJ325" s="548"/>
      <c r="AK325" s="548"/>
      <c r="AL325" s="198"/>
      <c r="AM325" s="320"/>
      <c r="AN325" s="61"/>
      <c r="AO325" s="61"/>
      <c r="AP325" s="198"/>
      <c r="AQ325" s="61"/>
    </row>
    <row r="326" spans="1:43" s="47" customFormat="1" ht="30.75" customHeight="1">
      <c r="A326" s="253">
        <v>43</v>
      </c>
      <c r="B326" s="254" t="s">
        <v>1674</v>
      </c>
      <c r="C326" s="255" t="s">
        <v>1675</v>
      </c>
      <c r="D326" s="278" t="s">
        <v>928</v>
      </c>
      <c r="E326" s="278" t="s">
        <v>203</v>
      </c>
      <c r="F326" s="523">
        <v>45584</v>
      </c>
      <c r="G326" s="257">
        <f>VLOOKUP(B326,Attendance!$B$6:$G$386,6,0)</f>
        <v>31</v>
      </c>
      <c r="H326" s="258">
        <f>VLOOKUP(B$8:B$380,Attendance!$B$6:$L$386,11,0)</f>
        <v>0</v>
      </c>
      <c r="I326" s="257">
        <f t="shared" si="321"/>
        <v>31</v>
      </c>
      <c r="J326" s="258">
        <f t="shared" si="311"/>
        <v>1225.8064516129032</v>
      </c>
      <c r="K326" s="72">
        <v>38000</v>
      </c>
      <c r="L326" s="72">
        <f t="shared" si="322"/>
        <v>22800</v>
      </c>
      <c r="M326" s="72">
        <f t="shared" si="323"/>
        <v>11400</v>
      </c>
      <c r="N326" s="72">
        <f t="shared" si="324"/>
        <v>2280</v>
      </c>
      <c r="O326" s="72">
        <f t="shared" si="325"/>
        <v>1520</v>
      </c>
      <c r="P326" s="259"/>
      <c r="Q326" s="260">
        <f t="shared" si="326"/>
        <v>38000</v>
      </c>
      <c r="R326" s="260">
        <f t="shared" si="327"/>
        <v>38000</v>
      </c>
      <c r="S326" s="261"/>
      <c r="T326" s="261"/>
      <c r="U326" s="263"/>
      <c r="V326" s="263">
        <f t="shared" si="328"/>
        <v>38000</v>
      </c>
      <c r="W326" s="72"/>
      <c r="X326" s="261">
        <f>IFERROR(VLOOKUP(B326,'Lunch bill'!$B$6:$H$30,7,0),0)</f>
        <v>0</v>
      </c>
      <c r="Y326" s="261">
        <f t="shared" si="307"/>
        <v>0</v>
      </c>
      <c r="Z326" s="261">
        <f>IFERROR(VLOOKUP(B326,'55 Bike '!$B$7:$J$139,9,0),0)</f>
        <v>0</v>
      </c>
      <c r="AA326" s="261"/>
      <c r="AB326" s="73">
        <f t="shared" si="329"/>
        <v>0</v>
      </c>
      <c r="AC326" s="73">
        <f t="shared" si="330"/>
        <v>38000</v>
      </c>
      <c r="AD326" s="264" t="s">
        <v>23</v>
      </c>
      <c r="AE326" s="256" t="s">
        <v>1693</v>
      </c>
      <c r="AF326" s="838"/>
      <c r="AG326" s="205"/>
      <c r="AH326" s="383"/>
      <c r="AI326" s="543"/>
      <c r="AJ326" s="548"/>
      <c r="AK326" s="548"/>
      <c r="AL326" s="198"/>
      <c r="AM326" s="320"/>
      <c r="AN326" s="61"/>
      <c r="AO326" s="61"/>
      <c r="AP326" s="198"/>
      <c r="AQ326" s="61"/>
    </row>
    <row r="327" spans="1:43" s="47" customFormat="1" ht="30.75" customHeight="1">
      <c r="A327" s="253">
        <v>44</v>
      </c>
      <c r="B327" s="254" t="s">
        <v>1676</v>
      </c>
      <c r="C327" s="255" t="s">
        <v>1677</v>
      </c>
      <c r="D327" s="278" t="s">
        <v>928</v>
      </c>
      <c r="E327" s="278" t="s">
        <v>203</v>
      </c>
      <c r="F327" s="523">
        <v>45591</v>
      </c>
      <c r="G327" s="257">
        <f>VLOOKUP(B327,Attendance!$B$6:$G$386,6,0)</f>
        <v>31</v>
      </c>
      <c r="H327" s="258">
        <f>VLOOKUP(B$8:B$380,Attendance!$B$6:$L$386,11,0)</f>
        <v>0</v>
      </c>
      <c r="I327" s="257">
        <f t="shared" si="321"/>
        <v>31</v>
      </c>
      <c r="J327" s="258">
        <f t="shared" si="311"/>
        <v>870.9677419354839</v>
      </c>
      <c r="K327" s="72">
        <v>27000</v>
      </c>
      <c r="L327" s="72">
        <f t="shared" si="322"/>
        <v>16200</v>
      </c>
      <c r="M327" s="72">
        <f t="shared" si="323"/>
        <v>8100</v>
      </c>
      <c r="N327" s="72">
        <f t="shared" si="324"/>
        <v>1620</v>
      </c>
      <c r="O327" s="72">
        <f t="shared" si="325"/>
        <v>1080</v>
      </c>
      <c r="P327" s="259"/>
      <c r="Q327" s="260">
        <f t="shared" si="326"/>
        <v>27000</v>
      </c>
      <c r="R327" s="260">
        <f t="shared" si="327"/>
        <v>27000</v>
      </c>
      <c r="S327" s="261"/>
      <c r="T327" s="261"/>
      <c r="U327" s="263"/>
      <c r="V327" s="263">
        <f t="shared" si="328"/>
        <v>27000</v>
      </c>
      <c r="W327" s="72"/>
      <c r="X327" s="261">
        <f>IFERROR(VLOOKUP(B327,'Lunch bill'!$B$6:$H$30,7,0),0)</f>
        <v>0</v>
      </c>
      <c r="Y327" s="261">
        <f t="shared" si="307"/>
        <v>0</v>
      </c>
      <c r="Z327" s="261">
        <f>IFERROR(VLOOKUP(B327,'55 Bike '!$B$7:$J$139,9,0),0)</f>
        <v>2175</v>
      </c>
      <c r="AA327" s="261"/>
      <c r="AB327" s="73">
        <f t="shared" si="329"/>
        <v>2175</v>
      </c>
      <c r="AC327" s="73">
        <f t="shared" si="330"/>
        <v>24825</v>
      </c>
      <c r="AD327" s="264" t="s">
        <v>23</v>
      </c>
      <c r="AE327" s="256" t="s">
        <v>1694</v>
      </c>
      <c r="AF327" s="838"/>
      <c r="AG327" s="205"/>
      <c r="AH327" s="383"/>
      <c r="AI327" s="543"/>
      <c r="AJ327" s="548"/>
      <c r="AK327" s="548"/>
      <c r="AL327" s="198"/>
      <c r="AM327" s="320"/>
      <c r="AN327" s="61"/>
      <c r="AO327" s="61"/>
      <c r="AP327" s="198"/>
      <c r="AQ327" s="61"/>
    </row>
    <row r="328" spans="1:43" s="47" customFormat="1" ht="30.75" customHeight="1">
      <c r="A328" s="253">
        <v>45</v>
      </c>
      <c r="B328" s="254" t="s">
        <v>1790</v>
      </c>
      <c r="C328" s="255" t="s">
        <v>1791</v>
      </c>
      <c r="D328" s="278" t="s">
        <v>928</v>
      </c>
      <c r="E328" s="278" t="s">
        <v>1184</v>
      </c>
      <c r="F328" s="523">
        <v>45600</v>
      </c>
      <c r="G328" s="257">
        <f>VLOOKUP(B328,Attendance!$B$6:$G$386,6,0)</f>
        <v>31</v>
      </c>
      <c r="H328" s="258">
        <f>VLOOKUP(B$8:B$380,Attendance!$B$6:$L$386,11,0)</f>
        <v>0</v>
      </c>
      <c r="I328" s="257">
        <f t="shared" ref="I328:I330" si="331">G328-H328</f>
        <v>31</v>
      </c>
      <c r="J328" s="258">
        <f t="shared" ref="J328:J330" si="332">Q328/G328</f>
        <v>967.74193548387098</v>
      </c>
      <c r="K328" s="72">
        <v>30000</v>
      </c>
      <c r="L328" s="72">
        <f t="shared" ref="L328:L330" si="333">K328*60%</f>
        <v>18000</v>
      </c>
      <c r="M328" s="72">
        <f t="shared" ref="M328:M330" si="334">K328*30%</f>
        <v>9000</v>
      </c>
      <c r="N328" s="72">
        <f t="shared" ref="N328:N330" si="335">K328*6%</f>
        <v>1800</v>
      </c>
      <c r="O328" s="72">
        <f t="shared" ref="O328:O330" si="336">K328*4%</f>
        <v>1200</v>
      </c>
      <c r="P328" s="259"/>
      <c r="Q328" s="260">
        <f t="shared" ref="Q328:Q330" si="337">SUM(L328:P328)</f>
        <v>30000</v>
      </c>
      <c r="R328" s="260">
        <f t="shared" ref="R328:R330" si="338">ROUND(I328*J328,)</f>
        <v>30000</v>
      </c>
      <c r="S328" s="261"/>
      <c r="T328" s="261"/>
      <c r="U328" s="263"/>
      <c r="V328" s="263">
        <f t="shared" si="328"/>
        <v>30000</v>
      </c>
      <c r="W328" s="72"/>
      <c r="X328" s="261">
        <f>IFERROR(VLOOKUP(B328,'Lunch bill'!$B$6:$H$30,7,0),0)</f>
        <v>0</v>
      </c>
      <c r="Y328" s="261">
        <f t="shared" si="307"/>
        <v>0</v>
      </c>
      <c r="Z328" s="261">
        <f>IFERROR(VLOOKUP(B328,'55 Bike '!$B$7:$J$139,9,0),0)</f>
        <v>2175</v>
      </c>
      <c r="AA328" s="261"/>
      <c r="AB328" s="73">
        <f t="shared" ref="AB328:AB330" si="339">SUM(W328:AA328)</f>
        <v>2175</v>
      </c>
      <c r="AC328" s="73">
        <f t="shared" si="330"/>
        <v>27825</v>
      </c>
      <c r="AD328" s="264" t="s">
        <v>23</v>
      </c>
      <c r="AE328" s="256" t="s">
        <v>1817</v>
      </c>
      <c r="AF328" s="838"/>
      <c r="AG328" s="205"/>
      <c r="AH328" s="383"/>
      <c r="AI328" s="543"/>
      <c r="AJ328" s="548"/>
      <c r="AK328" s="548"/>
      <c r="AL328" s="198"/>
      <c r="AM328" s="320"/>
      <c r="AN328" s="61"/>
      <c r="AO328" s="61"/>
      <c r="AP328" s="198"/>
      <c r="AQ328" s="61"/>
    </row>
    <row r="329" spans="1:43" s="47" customFormat="1" ht="30.75" customHeight="1">
      <c r="A329" s="253">
        <v>46</v>
      </c>
      <c r="B329" s="254" t="s">
        <v>1792</v>
      </c>
      <c r="C329" s="255" t="s">
        <v>1793</v>
      </c>
      <c r="D329" s="278" t="s">
        <v>928</v>
      </c>
      <c r="E329" s="278" t="s">
        <v>1184</v>
      </c>
      <c r="F329" s="523">
        <v>45602</v>
      </c>
      <c r="G329" s="257">
        <f>VLOOKUP(B329,Attendance!$B$6:$G$386,6,0)</f>
        <v>31</v>
      </c>
      <c r="H329" s="258">
        <f>VLOOKUP(B$8:B$380,Attendance!$B$6:$L$386,11,0)</f>
        <v>24</v>
      </c>
      <c r="I329" s="257">
        <f t="shared" si="331"/>
        <v>7</v>
      </c>
      <c r="J329" s="258">
        <f t="shared" si="332"/>
        <v>838.70967741935488</v>
      </c>
      <c r="K329" s="72">
        <v>26000</v>
      </c>
      <c r="L329" s="72">
        <f t="shared" si="333"/>
        <v>15600</v>
      </c>
      <c r="M329" s="72">
        <f t="shared" si="334"/>
        <v>7800</v>
      </c>
      <c r="N329" s="72">
        <f t="shared" si="335"/>
        <v>1560</v>
      </c>
      <c r="O329" s="72">
        <f t="shared" si="336"/>
        <v>1040</v>
      </c>
      <c r="P329" s="259"/>
      <c r="Q329" s="260">
        <f t="shared" si="337"/>
        <v>26000</v>
      </c>
      <c r="R329" s="260">
        <f t="shared" si="338"/>
        <v>5871</v>
      </c>
      <c r="S329" s="261"/>
      <c r="T329" s="261"/>
      <c r="U329" s="263"/>
      <c r="V329" s="263">
        <f t="shared" si="328"/>
        <v>5871</v>
      </c>
      <c r="W329" s="72"/>
      <c r="X329" s="261">
        <f>IFERROR(VLOOKUP(B329,'Lunch bill'!$B$6:$H$30,7,0),0)</f>
        <v>0</v>
      </c>
      <c r="Y329" s="261">
        <f t="shared" si="307"/>
        <v>0</v>
      </c>
      <c r="Z329" s="261">
        <f>IFERROR(VLOOKUP(B329,'55 Bike '!$B$7:$J$139,9,0),0)</f>
        <v>0</v>
      </c>
      <c r="AA329" s="261"/>
      <c r="AB329" s="73">
        <f t="shared" si="339"/>
        <v>0</v>
      </c>
      <c r="AC329" s="73">
        <f t="shared" si="330"/>
        <v>5871</v>
      </c>
      <c r="AD329" s="264" t="s">
        <v>25</v>
      </c>
      <c r="AE329" s="256" t="s">
        <v>1876</v>
      </c>
      <c r="AF329" s="838"/>
      <c r="AG329" s="205"/>
      <c r="AH329" s="383"/>
      <c r="AI329" s="543"/>
      <c r="AJ329" s="548"/>
      <c r="AK329" s="548"/>
      <c r="AL329" s="198"/>
      <c r="AM329" s="320"/>
      <c r="AN329" s="61"/>
      <c r="AO329" s="61"/>
      <c r="AP329" s="198"/>
      <c r="AQ329" s="61"/>
    </row>
    <row r="330" spans="1:43" s="47" customFormat="1" ht="30.75" customHeight="1">
      <c r="A330" s="253">
        <v>47</v>
      </c>
      <c r="B330" s="254" t="s">
        <v>1794</v>
      </c>
      <c r="C330" s="255" t="s">
        <v>1795</v>
      </c>
      <c r="D330" s="278" t="s">
        <v>890</v>
      </c>
      <c r="E330" s="278" t="s">
        <v>1184</v>
      </c>
      <c r="F330" s="523">
        <v>45602</v>
      </c>
      <c r="G330" s="257">
        <f>VLOOKUP(B330,Attendance!$B$6:$G$386,6,0)</f>
        <v>31</v>
      </c>
      <c r="H330" s="258">
        <f>VLOOKUP(B$8:B$380,Attendance!$B$6:$L$386,11,0)</f>
        <v>0</v>
      </c>
      <c r="I330" s="257">
        <f t="shared" si="331"/>
        <v>31</v>
      </c>
      <c r="J330" s="258">
        <f t="shared" si="332"/>
        <v>580.64516129032256</v>
      </c>
      <c r="K330" s="72">
        <v>18000</v>
      </c>
      <c r="L330" s="72">
        <f t="shared" si="333"/>
        <v>10800</v>
      </c>
      <c r="M330" s="72">
        <f t="shared" si="334"/>
        <v>5400</v>
      </c>
      <c r="N330" s="72">
        <f t="shared" si="335"/>
        <v>1080</v>
      </c>
      <c r="O330" s="72">
        <f t="shared" si="336"/>
        <v>720</v>
      </c>
      <c r="P330" s="259"/>
      <c r="Q330" s="260">
        <f t="shared" si="337"/>
        <v>18000</v>
      </c>
      <c r="R330" s="260">
        <f t="shared" si="338"/>
        <v>18000</v>
      </c>
      <c r="S330" s="261"/>
      <c r="T330" s="261"/>
      <c r="U330" s="263"/>
      <c r="V330" s="263">
        <f t="shared" si="328"/>
        <v>18000</v>
      </c>
      <c r="W330" s="72"/>
      <c r="X330" s="261">
        <f>IFERROR(VLOOKUP(B330,'Lunch bill'!$B$6:$H$30,7,0),0)</f>
        <v>0</v>
      </c>
      <c r="Y330" s="261">
        <f t="shared" si="307"/>
        <v>0</v>
      </c>
      <c r="Z330" s="261">
        <f>IFERROR(VLOOKUP(B330,'55 Bike '!$B$7:$J$139,9,0),0)</f>
        <v>0</v>
      </c>
      <c r="AA330" s="261"/>
      <c r="AB330" s="73">
        <f t="shared" si="339"/>
        <v>0</v>
      </c>
      <c r="AC330" s="73">
        <f t="shared" si="330"/>
        <v>18000</v>
      </c>
      <c r="AD330" s="264" t="s">
        <v>23</v>
      </c>
      <c r="AE330" s="256" t="s">
        <v>1827</v>
      </c>
      <c r="AF330" s="838"/>
      <c r="AG330" s="205"/>
      <c r="AH330" s="383"/>
      <c r="AI330" s="543"/>
      <c r="AJ330" s="548"/>
      <c r="AK330" s="548"/>
      <c r="AL330" s="198"/>
      <c r="AM330" s="320"/>
      <c r="AN330" s="61"/>
      <c r="AO330" s="61"/>
      <c r="AP330" s="198"/>
      <c r="AQ330" s="61"/>
    </row>
    <row r="331" spans="1:43" s="30" customFormat="1" ht="21.75" customHeight="1">
      <c r="A331" s="101" t="s">
        <v>67</v>
      </c>
      <c r="B331" s="102"/>
      <c r="C331" s="103"/>
      <c r="D331" s="282"/>
      <c r="E331" s="282"/>
      <c r="F331" s="526"/>
      <c r="G331" s="105"/>
      <c r="H331" s="105"/>
      <c r="I331" s="105"/>
      <c r="J331" s="107"/>
      <c r="K331" s="107">
        <f t="shared" ref="K331:AB331" si="340">SUM(K284:K330)</f>
        <v>1664200</v>
      </c>
      <c r="L331" s="107">
        <f t="shared" si="340"/>
        <v>998520</v>
      </c>
      <c r="M331" s="107">
        <f t="shared" si="340"/>
        <v>499260</v>
      </c>
      <c r="N331" s="107">
        <f t="shared" si="340"/>
        <v>99852</v>
      </c>
      <c r="O331" s="107">
        <f t="shared" si="340"/>
        <v>66568</v>
      </c>
      <c r="P331" s="107">
        <f t="shared" si="340"/>
        <v>0</v>
      </c>
      <c r="Q331" s="107">
        <f t="shared" si="340"/>
        <v>1664200</v>
      </c>
      <c r="R331" s="107">
        <f t="shared" si="340"/>
        <v>1632716</v>
      </c>
      <c r="S331" s="107">
        <f t="shared" si="340"/>
        <v>0</v>
      </c>
      <c r="T331" s="107">
        <f t="shared" si="340"/>
        <v>0</v>
      </c>
      <c r="U331" s="107">
        <f t="shared" si="340"/>
        <v>0</v>
      </c>
      <c r="V331" s="107">
        <f t="shared" si="340"/>
        <v>1632716</v>
      </c>
      <c r="W331" s="107">
        <f t="shared" si="340"/>
        <v>4436</v>
      </c>
      <c r="X331" s="107">
        <f t="shared" si="340"/>
        <v>3150</v>
      </c>
      <c r="Y331" s="107">
        <f t="shared" si="340"/>
        <v>35106</v>
      </c>
      <c r="Z331" s="107">
        <f t="shared" si="340"/>
        <v>46386</v>
      </c>
      <c r="AA331" s="107">
        <f t="shared" si="340"/>
        <v>0</v>
      </c>
      <c r="AB331" s="107">
        <f t="shared" si="340"/>
        <v>89078</v>
      </c>
      <c r="AC331" s="107">
        <f>SUM(AC284:AC330)</f>
        <v>1543638</v>
      </c>
      <c r="AD331" s="114"/>
      <c r="AE331" s="113"/>
      <c r="AF331" s="838"/>
      <c r="AG331" s="199"/>
      <c r="AH331" s="383"/>
      <c r="AI331" s="543"/>
      <c r="AJ331" s="548"/>
      <c r="AK331" s="549"/>
      <c r="AL331" s="198"/>
      <c r="AM331" s="320"/>
      <c r="AN331" s="61"/>
      <c r="AO331" s="61"/>
      <c r="AP331" s="198"/>
      <c r="AQ331" s="61"/>
    </row>
    <row r="332" spans="1:43" s="47" customFormat="1" ht="21.75" customHeight="1">
      <c r="A332" s="89" t="s">
        <v>1100</v>
      </c>
      <c r="B332" s="90"/>
      <c r="C332" s="90"/>
      <c r="D332" s="348"/>
      <c r="E332" s="497"/>
      <c r="F332" s="527"/>
      <c r="G332" s="268"/>
      <c r="H332" s="267"/>
      <c r="I332" s="268"/>
      <c r="J332" s="268"/>
      <c r="K332" s="268"/>
      <c r="L332" s="268"/>
      <c r="M332" s="268"/>
      <c r="N332" s="268"/>
      <c r="O332" s="268"/>
      <c r="P332" s="268"/>
      <c r="Q332" s="268"/>
      <c r="R332" s="268"/>
      <c r="S332" s="268"/>
      <c r="T332" s="268"/>
      <c r="U332" s="268"/>
      <c r="V332" s="268"/>
      <c r="W332" s="268"/>
      <c r="X332" s="268"/>
      <c r="Y332" s="267"/>
      <c r="Z332" s="268"/>
      <c r="AA332" s="268"/>
      <c r="AB332" s="268"/>
      <c r="AC332" s="268"/>
      <c r="AD332" s="268"/>
      <c r="AE332" s="349"/>
      <c r="AF332" s="838"/>
      <c r="AG332" s="90"/>
      <c r="AH332" s="383"/>
      <c r="AI332" s="543"/>
      <c r="AJ332" s="548"/>
      <c r="AK332" s="549"/>
      <c r="AL332" s="198"/>
      <c r="AM332" s="320"/>
      <c r="AN332" s="61"/>
      <c r="AO332" s="61"/>
      <c r="AP332" s="198"/>
      <c r="AQ332" s="61"/>
    </row>
    <row r="333" spans="1:43" s="47" customFormat="1" ht="30" customHeight="1">
      <c r="A333" s="501">
        <v>1</v>
      </c>
      <c r="B333" s="502" t="s">
        <v>1075</v>
      </c>
      <c r="C333" s="329" t="s">
        <v>1076</v>
      </c>
      <c r="D333" s="342" t="str">
        <f>VLOOKUP(B333,Attendance!$B$6:$D$385,3,0)</f>
        <v>Sr. Territory Manager (Pesticide)</v>
      </c>
      <c r="E333" s="330" t="s">
        <v>203</v>
      </c>
      <c r="F333" s="522">
        <v>45245</v>
      </c>
      <c r="G333" s="257">
        <f>VLOOKUP(B333,Attendance!$B$6:$G$386,6,0)</f>
        <v>31</v>
      </c>
      <c r="H333" s="258">
        <f>VLOOKUP(B$8:B$380,Attendance!$B$6:$L$386,11,0)</f>
        <v>0</v>
      </c>
      <c r="I333" s="257">
        <f t="shared" ref="I333:I371" si="341">G333-H333</f>
        <v>31</v>
      </c>
      <c r="J333" s="258">
        <f t="shared" ref="J333:J374" si="342">Q333/G333</f>
        <v>1451.6129032258063</v>
      </c>
      <c r="K333" s="72">
        <v>45000</v>
      </c>
      <c r="L333" s="192">
        <f t="shared" ref="L333:L368" si="343">K333*60%</f>
        <v>27000</v>
      </c>
      <c r="M333" s="192">
        <f t="shared" ref="M333:M368" si="344">K333*30%</f>
        <v>13500</v>
      </c>
      <c r="N333" s="192">
        <f t="shared" ref="N333:N368" si="345">K333*6%</f>
        <v>2700</v>
      </c>
      <c r="O333" s="192">
        <f t="shared" ref="O333:O368" si="346">K333*4%</f>
        <v>1800</v>
      </c>
      <c r="P333" s="344">
        <v>0</v>
      </c>
      <c r="Q333" s="345">
        <f t="shared" ref="Q333:Q368" si="347">SUM(L333:P333)</f>
        <v>45000</v>
      </c>
      <c r="R333" s="345">
        <f t="shared" ref="R333:R371" si="348">ROUND(I333*J333,)</f>
        <v>45000</v>
      </c>
      <c r="S333" s="337">
        <v>0</v>
      </c>
      <c r="T333" s="337">
        <v>0</v>
      </c>
      <c r="U333" s="263"/>
      <c r="V333" s="338">
        <f t="shared" ref="V333:V368" si="349">SUM(R333:U333)</f>
        <v>45000</v>
      </c>
      <c r="W333" s="192">
        <v>417</v>
      </c>
      <c r="X333" s="337">
        <f>IFERROR(VLOOKUP(B333,'Lunch bill'!$B$6:$H$30,7,0),0)</f>
        <v>0</v>
      </c>
      <c r="Y333" s="261">
        <f t="shared" ref="Y333:Y368" si="350">ROUND(IF($AH$4-F333&gt;=360,L333*5%,0),0)</f>
        <v>1350</v>
      </c>
      <c r="Z333" s="261">
        <f>IFERROR(VLOOKUP(B333,'55 Bike '!$B$7:$J$139,9,0),0)</f>
        <v>0</v>
      </c>
      <c r="AA333" s="261"/>
      <c r="AB333" s="73">
        <f t="shared" ref="AB333:AB368" si="351">SUM(W333:AA333)</f>
        <v>1767</v>
      </c>
      <c r="AC333" s="73">
        <f t="shared" ref="AC333:AC368" si="352">ROUND(V333-AB333,0)</f>
        <v>43233</v>
      </c>
      <c r="AD333" s="346" t="s">
        <v>23</v>
      </c>
      <c r="AE333" s="343" t="s">
        <v>1101</v>
      </c>
      <c r="AF333" s="838"/>
      <c r="AG333" s="205"/>
      <c r="AH333" s="383"/>
      <c r="AI333" s="543"/>
      <c r="AJ333" s="548"/>
      <c r="AK333" s="548"/>
      <c r="AL333" s="198"/>
      <c r="AM333" s="320"/>
      <c r="AN333" s="61"/>
      <c r="AO333" s="61"/>
      <c r="AP333" s="198"/>
      <c r="AQ333" s="61"/>
    </row>
    <row r="334" spans="1:43" s="47" customFormat="1" ht="26.25" customHeight="1">
      <c r="A334" s="253">
        <v>2</v>
      </c>
      <c r="B334" s="254" t="s">
        <v>1109</v>
      </c>
      <c r="C334" s="255" t="s">
        <v>1110</v>
      </c>
      <c r="D334" s="278" t="str">
        <f>VLOOKUP(B334,Attendance!$B$6:$D$385,3,0)</f>
        <v>Territory Sales officer</v>
      </c>
      <c r="E334" s="278" t="s">
        <v>1185</v>
      </c>
      <c r="F334" s="523">
        <v>45262</v>
      </c>
      <c r="G334" s="257">
        <f>VLOOKUP(B334,Attendance!$B$6:$G$386,6,0)</f>
        <v>31</v>
      </c>
      <c r="H334" s="258">
        <f>VLOOKUP(B$8:B$380,Attendance!$B$6:$L$386,11,0)</f>
        <v>0</v>
      </c>
      <c r="I334" s="257">
        <f t="shared" si="341"/>
        <v>31</v>
      </c>
      <c r="J334" s="258">
        <f t="shared" si="342"/>
        <v>774.19354838709683</v>
      </c>
      <c r="K334" s="72">
        <v>24000</v>
      </c>
      <c r="L334" s="72">
        <f t="shared" si="343"/>
        <v>14400</v>
      </c>
      <c r="M334" s="72">
        <f t="shared" si="344"/>
        <v>7200</v>
      </c>
      <c r="N334" s="72">
        <f t="shared" si="345"/>
        <v>1440</v>
      </c>
      <c r="O334" s="72">
        <f t="shared" si="346"/>
        <v>960</v>
      </c>
      <c r="P334" s="344">
        <v>0</v>
      </c>
      <c r="Q334" s="345">
        <f t="shared" si="347"/>
        <v>24000</v>
      </c>
      <c r="R334" s="345">
        <f t="shared" si="348"/>
        <v>24000</v>
      </c>
      <c r="S334" s="337">
        <v>0</v>
      </c>
      <c r="T334" s="337">
        <v>0</v>
      </c>
      <c r="U334" s="263"/>
      <c r="V334" s="338">
        <f t="shared" si="349"/>
        <v>24000</v>
      </c>
      <c r="W334" s="72"/>
      <c r="X334" s="261">
        <f>IFERROR(VLOOKUP(B334,'Lunch bill'!$B$6:$H$30,7,0),0)</f>
        <v>0</v>
      </c>
      <c r="Y334" s="261">
        <f t="shared" si="350"/>
        <v>720</v>
      </c>
      <c r="Z334" s="261">
        <f>IFERROR(VLOOKUP(B334,'55 Bike '!$B$7:$J$139,9,0),0)</f>
        <v>2175</v>
      </c>
      <c r="AA334" s="261"/>
      <c r="AB334" s="73">
        <f t="shared" si="351"/>
        <v>2895</v>
      </c>
      <c r="AC334" s="73">
        <f t="shared" si="352"/>
        <v>21105</v>
      </c>
      <c r="AD334" s="264" t="s">
        <v>23</v>
      </c>
      <c r="AE334" s="256" t="s">
        <v>1124</v>
      </c>
      <c r="AF334" s="838"/>
      <c r="AG334" s="205"/>
      <c r="AH334" s="383"/>
      <c r="AI334" s="543"/>
      <c r="AJ334" s="548"/>
      <c r="AK334" s="548"/>
      <c r="AL334" s="198"/>
      <c r="AM334" s="320"/>
      <c r="AN334" s="61"/>
      <c r="AO334" s="61"/>
      <c r="AP334" s="198"/>
      <c r="AQ334" s="61"/>
    </row>
    <row r="335" spans="1:43" s="47" customFormat="1" ht="26.25" customHeight="1">
      <c r="A335" s="253">
        <v>3</v>
      </c>
      <c r="B335" s="254" t="s">
        <v>1115</v>
      </c>
      <c r="C335" s="255" t="s">
        <v>1116</v>
      </c>
      <c r="D335" s="278" t="str">
        <f>VLOOKUP(B335,Attendance!$B$6:$D$385,3,0)</f>
        <v>Territory Sales officer</v>
      </c>
      <c r="E335" s="278" t="s">
        <v>1185</v>
      </c>
      <c r="F335" s="523">
        <v>45265</v>
      </c>
      <c r="G335" s="257">
        <f>VLOOKUP(B335,Attendance!$B$6:$G$386,6,0)</f>
        <v>31</v>
      </c>
      <c r="H335" s="258">
        <f>VLOOKUP(B$8:B$380,Attendance!$B$6:$L$386,11,0)</f>
        <v>0</v>
      </c>
      <c r="I335" s="257">
        <f t="shared" si="341"/>
        <v>31</v>
      </c>
      <c r="J335" s="258">
        <f t="shared" si="342"/>
        <v>709.67741935483866</v>
      </c>
      <c r="K335" s="72">
        <v>22000</v>
      </c>
      <c r="L335" s="72">
        <f t="shared" si="343"/>
        <v>13200</v>
      </c>
      <c r="M335" s="72">
        <f t="shared" si="344"/>
        <v>6600</v>
      </c>
      <c r="N335" s="72">
        <f t="shared" si="345"/>
        <v>1320</v>
      </c>
      <c r="O335" s="72">
        <f t="shared" si="346"/>
        <v>880</v>
      </c>
      <c r="P335" s="344">
        <v>0</v>
      </c>
      <c r="Q335" s="345">
        <f t="shared" si="347"/>
        <v>22000</v>
      </c>
      <c r="R335" s="345">
        <f t="shared" si="348"/>
        <v>22000</v>
      </c>
      <c r="S335" s="337">
        <v>0</v>
      </c>
      <c r="T335" s="337">
        <v>0</v>
      </c>
      <c r="U335" s="263"/>
      <c r="V335" s="338">
        <f t="shared" si="349"/>
        <v>22000</v>
      </c>
      <c r="W335" s="72"/>
      <c r="X335" s="261">
        <f>IFERROR(VLOOKUP(B335,'Lunch bill'!$B$6:$H$30,7,0),0)</f>
        <v>0</v>
      </c>
      <c r="Y335" s="261">
        <f t="shared" si="350"/>
        <v>660</v>
      </c>
      <c r="Z335" s="261">
        <f>IFERROR(VLOOKUP(B335,'55 Bike '!$B$7:$J$139,9,0),0)</f>
        <v>0</v>
      </c>
      <c r="AA335" s="261"/>
      <c r="AB335" s="73">
        <f t="shared" si="351"/>
        <v>660</v>
      </c>
      <c r="AC335" s="73">
        <f t="shared" si="352"/>
        <v>21340</v>
      </c>
      <c r="AD335" s="264" t="s">
        <v>23</v>
      </c>
      <c r="AE335" s="256" t="s">
        <v>1125</v>
      </c>
      <c r="AF335" s="838"/>
      <c r="AG335" s="205"/>
      <c r="AH335" s="383"/>
      <c r="AI335" s="543"/>
      <c r="AJ335" s="548"/>
      <c r="AK335" s="548"/>
      <c r="AL335" s="198"/>
      <c r="AM335" s="320"/>
      <c r="AN335" s="61"/>
      <c r="AO335" s="61"/>
      <c r="AP335" s="198"/>
      <c r="AQ335" s="61"/>
    </row>
    <row r="336" spans="1:43" s="47" customFormat="1" ht="24.75" customHeight="1">
      <c r="A336" s="253">
        <v>4</v>
      </c>
      <c r="B336" s="254" t="s">
        <v>1130</v>
      </c>
      <c r="C336" s="255" t="s">
        <v>1131</v>
      </c>
      <c r="D336" s="278" t="str">
        <f>VLOOKUP(B336,Attendance!$B$6:$D$385,3,0)</f>
        <v>ARM</v>
      </c>
      <c r="E336" s="278" t="s">
        <v>1185</v>
      </c>
      <c r="F336" s="523">
        <v>45292</v>
      </c>
      <c r="G336" s="257">
        <f>VLOOKUP(B336,Attendance!$B$6:$G$386,6,0)</f>
        <v>31</v>
      </c>
      <c r="H336" s="258">
        <f>VLOOKUP(B$8:B$380,Attendance!$B$6:$L$386,11,0)</f>
        <v>0</v>
      </c>
      <c r="I336" s="257">
        <f t="shared" si="341"/>
        <v>31</v>
      </c>
      <c r="J336" s="258">
        <f t="shared" si="342"/>
        <v>1354.8387096774193</v>
      </c>
      <c r="K336" s="72">
        <v>42000</v>
      </c>
      <c r="L336" s="72">
        <f t="shared" si="343"/>
        <v>25200</v>
      </c>
      <c r="M336" s="72">
        <f t="shared" si="344"/>
        <v>12600</v>
      </c>
      <c r="N336" s="72">
        <f t="shared" si="345"/>
        <v>2520</v>
      </c>
      <c r="O336" s="72">
        <f t="shared" si="346"/>
        <v>1680</v>
      </c>
      <c r="P336" s="344"/>
      <c r="Q336" s="345">
        <f t="shared" si="347"/>
        <v>42000</v>
      </c>
      <c r="R336" s="345">
        <f t="shared" si="348"/>
        <v>42000</v>
      </c>
      <c r="S336" s="337">
        <v>0</v>
      </c>
      <c r="T336" s="337">
        <v>0</v>
      </c>
      <c r="U336" s="263"/>
      <c r="V336" s="338">
        <f t="shared" si="349"/>
        <v>42000</v>
      </c>
      <c r="W336" s="72"/>
      <c r="X336" s="261">
        <f>IFERROR(VLOOKUP(B336,'Lunch bill'!$B$6:$H$30,7,0),0)</f>
        <v>0</v>
      </c>
      <c r="Y336" s="261">
        <f t="shared" si="350"/>
        <v>1260</v>
      </c>
      <c r="Z336" s="261">
        <f>IFERROR(VLOOKUP(B336,'55 Bike '!$B$7:$J$139,9,0),0)</f>
        <v>0</v>
      </c>
      <c r="AA336" s="261"/>
      <c r="AB336" s="73">
        <f t="shared" si="351"/>
        <v>1260</v>
      </c>
      <c r="AC336" s="73">
        <f t="shared" si="352"/>
        <v>40740</v>
      </c>
      <c r="AD336" s="264" t="s">
        <v>23</v>
      </c>
      <c r="AE336" s="256" t="s">
        <v>1145</v>
      </c>
      <c r="AF336" s="838"/>
      <c r="AG336" s="205"/>
      <c r="AH336" s="383"/>
      <c r="AI336" s="543"/>
      <c r="AJ336" s="548"/>
      <c r="AK336" s="548"/>
      <c r="AL336" s="198"/>
      <c r="AM336" s="320"/>
      <c r="AN336" s="61"/>
      <c r="AO336" s="61"/>
      <c r="AP336" s="198"/>
      <c r="AQ336" s="61"/>
    </row>
    <row r="337" spans="1:43" s="47" customFormat="1" ht="30" customHeight="1">
      <c r="A337" s="253">
        <v>5</v>
      </c>
      <c r="B337" s="254" t="s">
        <v>1134</v>
      </c>
      <c r="C337" s="255" t="s">
        <v>1135</v>
      </c>
      <c r="D337" s="278" t="str">
        <f>VLOOKUP(B337,Attendance!$B$6:$D$385,3,0)</f>
        <v>Sr. Territory Sales Officer</v>
      </c>
      <c r="E337" s="278" t="s">
        <v>1185</v>
      </c>
      <c r="F337" s="523">
        <v>45299</v>
      </c>
      <c r="G337" s="257">
        <f>VLOOKUP(B337,Attendance!$B$6:$G$386,6,0)</f>
        <v>31</v>
      </c>
      <c r="H337" s="258">
        <f>VLOOKUP(B$8:B$380,Attendance!$B$6:$L$386,11,0)</f>
        <v>0</v>
      </c>
      <c r="I337" s="257">
        <f t="shared" si="341"/>
        <v>31</v>
      </c>
      <c r="J337" s="258">
        <f t="shared" si="342"/>
        <v>838.70967741935488</v>
      </c>
      <c r="K337" s="72">
        <v>26000</v>
      </c>
      <c r="L337" s="72">
        <f t="shared" si="343"/>
        <v>15600</v>
      </c>
      <c r="M337" s="72">
        <f t="shared" si="344"/>
        <v>7800</v>
      </c>
      <c r="N337" s="72">
        <f t="shared" si="345"/>
        <v>1560</v>
      </c>
      <c r="O337" s="72">
        <f t="shared" si="346"/>
        <v>1040</v>
      </c>
      <c r="P337" s="344"/>
      <c r="Q337" s="345">
        <f t="shared" si="347"/>
        <v>26000</v>
      </c>
      <c r="R337" s="345">
        <f t="shared" si="348"/>
        <v>26000</v>
      </c>
      <c r="S337" s="337">
        <v>0</v>
      </c>
      <c r="T337" s="337">
        <v>0</v>
      </c>
      <c r="U337" s="263"/>
      <c r="V337" s="338">
        <f t="shared" si="349"/>
        <v>26000</v>
      </c>
      <c r="W337" s="72"/>
      <c r="X337" s="261">
        <f>IFERROR(VLOOKUP(B337,'Lunch bill'!$B$6:$H$30,7,0),0)</f>
        <v>0</v>
      </c>
      <c r="Y337" s="261">
        <f t="shared" si="350"/>
        <v>0</v>
      </c>
      <c r="Z337" s="261">
        <f>IFERROR(VLOOKUP(B337,'55 Bike '!$B$7:$J$139,9,0),0)</f>
        <v>2175</v>
      </c>
      <c r="AA337" s="261"/>
      <c r="AB337" s="73">
        <f t="shared" si="351"/>
        <v>2175</v>
      </c>
      <c r="AC337" s="73">
        <f t="shared" si="352"/>
        <v>23825</v>
      </c>
      <c r="AD337" s="264" t="s">
        <v>23</v>
      </c>
      <c r="AE337" s="256" t="s">
        <v>1146</v>
      </c>
      <c r="AF337" s="838"/>
      <c r="AG337" s="205"/>
      <c r="AH337" s="383"/>
      <c r="AI337" s="543"/>
      <c r="AJ337" s="548"/>
      <c r="AK337" s="548"/>
      <c r="AL337" s="198"/>
      <c r="AM337" s="320"/>
      <c r="AN337" s="61"/>
      <c r="AO337" s="61"/>
      <c r="AP337" s="198"/>
      <c r="AQ337" s="61"/>
    </row>
    <row r="338" spans="1:43" s="47" customFormat="1" ht="30" customHeight="1">
      <c r="A338" s="253">
        <v>6</v>
      </c>
      <c r="B338" s="254" t="s">
        <v>1136</v>
      </c>
      <c r="C338" s="255" t="s">
        <v>990</v>
      </c>
      <c r="D338" s="278" t="str">
        <f>VLOOKUP(B338,Attendance!$B$6:$D$385,3,0)</f>
        <v>Territory Sales Officer</v>
      </c>
      <c r="E338" s="278" t="s">
        <v>1185</v>
      </c>
      <c r="F338" s="523">
        <v>45299</v>
      </c>
      <c r="G338" s="257">
        <f>VLOOKUP(B338,Attendance!$B$6:$G$386,6,0)</f>
        <v>31</v>
      </c>
      <c r="H338" s="258">
        <f>VLOOKUP(B$8:B$380,Attendance!$B$6:$L$386,11,0)</f>
        <v>0</v>
      </c>
      <c r="I338" s="257">
        <f t="shared" si="341"/>
        <v>31</v>
      </c>
      <c r="J338" s="258">
        <f t="shared" si="342"/>
        <v>677.41935483870964</v>
      </c>
      <c r="K338" s="72">
        <v>21000</v>
      </c>
      <c r="L338" s="72">
        <f t="shared" si="343"/>
        <v>12600</v>
      </c>
      <c r="M338" s="72">
        <f t="shared" si="344"/>
        <v>6300</v>
      </c>
      <c r="N338" s="72">
        <f t="shared" si="345"/>
        <v>1260</v>
      </c>
      <c r="O338" s="72">
        <f t="shared" si="346"/>
        <v>840</v>
      </c>
      <c r="P338" s="344"/>
      <c r="Q338" s="345">
        <f t="shared" si="347"/>
        <v>21000</v>
      </c>
      <c r="R338" s="345">
        <f t="shared" si="348"/>
        <v>21000</v>
      </c>
      <c r="S338" s="337">
        <v>0</v>
      </c>
      <c r="T338" s="337">
        <v>0</v>
      </c>
      <c r="U338" s="263"/>
      <c r="V338" s="338">
        <f t="shared" si="349"/>
        <v>21000</v>
      </c>
      <c r="W338" s="72"/>
      <c r="X338" s="261">
        <f>IFERROR(VLOOKUP(B338,'Lunch bill'!$B$6:$H$30,7,0),0)</f>
        <v>0</v>
      </c>
      <c r="Y338" s="261">
        <f t="shared" si="350"/>
        <v>0</v>
      </c>
      <c r="Z338" s="261">
        <f>IFERROR(VLOOKUP(B338,'55 Bike '!$B$7:$J$139,9,0),0)</f>
        <v>2175</v>
      </c>
      <c r="AA338" s="261"/>
      <c r="AB338" s="73">
        <f t="shared" si="351"/>
        <v>2175</v>
      </c>
      <c r="AC338" s="73">
        <f t="shared" si="352"/>
        <v>18825</v>
      </c>
      <c r="AD338" s="264" t="s">
        <v>23</v>
      </c>
      <c r="AE338" s="256" t="s">
        <v>1147</v>
      </c>
      <c r="AF338" s="838"/>
      <c r="AG338" s="205"/>
      <c r="AH338" s="383"/>
      <c r="AI338" s="543"/>
      <c r="AJ338" s="548"/>
      <c r="AK338" s="548"/>
      <c r="AL338" s="198"/>
      <c r="AM338" s="320"/>
      <c r="AN338" s="61"/>
      <c r="AO338" s="61"/>
      <c r="AP338" s="198"/>
      <c r="AQ338" s="61"/>
    </row>
    <row r="339" spans="1:43" s="47" customFormat="1" ht="30" customHeight="1">
      <c r="A339" s="253">
        <v>7</v>
      </c>
      <c r="B339" s="254" t="s">
        <v>1137</v>
      </c>
      <c r="C339" s="255" t="s">
        <v>1076</v>
      </c>
      <c r="D339" s="278" t="str">
        <f>VLOOKUP(B339,Attendance!$B$6:$D$385,3,0)</f>
        <v>Sr. Territory Sales Officer</v>
      </c>
      <c r="E339" s="278" t="s">
        <v>1185</v>
      </c>
      <c r="F339" s="523">
        <v>45297</v>
      </c>
      <c r="G339" s="257">
        <f>VLOOKUP(B339,Attendance!$B$6:$G$386,6,0)</f>
        <v>31</v>
      </c>
      <c r="H339" s="258">
        <f>VLOOKUP(B$8:B$380,Attendance!$B$6:$L$386,11,0)</f>
        <v>0</v>
      </c>
      <c r="I339" s="257">
        <f t="shared" si="341"/>
        <v>31</v>
      </c>
      <c r="J339" s="258">
        <f t="shared" si="342"/>
        <v>741.93548387096769</v>
      </c>
      <c r="K339" s="72">
        <v>23000</v>
      </c>
      <c r="L339" s="72">
        <f t="shared" si="343"/>
        <v>13800</v>
      </c>
      <c r="M339" s="72">
        <f t="shared" si="344"/>
        <v>6900</v>
      </c>
      <c r="N339" s="72">
        <f t="shared" si="345"/>
        <v>1380</v>
      </c>
      <c r="O339" s="72">
        <f t="shared" si="346"/>
        <v>920</v>
      </c>
      <c r="P339" s="344"/>
      <c r="Q339" s="345">
        <f t="shared" si="347"/>
        <v>23000</v>
      </c>
      <c r="R339" s="345">
        <f t="shared" si="348"/>
        <v>23000</v>
      </c>
      <c r="S339" s="337">
        <v>0</v>
      </c>
      <c r="T339" s="337">
        <v>0</v>
      </c>
      <c r="U339" s="263"/>
      <c r="V339" s="338">
        <f t="shared" si="349"/>
        <v>23000</v>
      </c>
      <c r="W339" s="72"/>
      <c r="X339" s="261">
        <f>IFERROR(VLOOKUP(B339,'Lunch bill'!$B$6:$H$30,7,0),0)</f>
        <v>0</v>
      </c>
      <c r="Y339" s="261">
        <f t="shared" si="350"/>
        <v>690</v>
      </c>
      <c r="Z339" s="261">
        <f>IFERROR(VLOOKUP(B339,'55 Bike '!$B$7:$J$139,9,0),0)</f>
        <v>2175</v>
      </c>
      <c r="AA339" s="261"/>
      <c r="AB339" s="73">
        <f t="shared" si="351"/>
        <v>2865</v>
      </c>
      <c r="AC339" s="73">
        <f t="shared" si="352"/>
        <v>20135</v>
      </c>
      <c r="AD339" s="264" t="s">
        <v>23</v>
      </c>
      <c r="AE339" s="256" t="s">
        <v>1148</v>
      </c>
      <c r="AF339" s="838"/>
      <c r="AG339" s="205"/>
      <c r="AH339" s="383"/>
      <c r="AI339" s="543"/>
      <c r="AJ339" s="548"/>
      <c r="AK339" s="548"/>
      <c r="AL339" s="198"/>
      <c r="AM339" s="320"/>
      <c r="AN339" s="61"/>
      <c r="AO339" s="61"/>
      <c r="AP339" s="198"/>
      <c r="AQ339" s="61"/>
    </row>
    <row r="340" spans="1:43" s="47" customFormat="1" ht="30" customHeight="1">
      <c r="A340" s="253">
        <v>8</v>
      </c>
      <c r="B340" s="254" t="s">
        <v>1138</v>
      </c>
      <c r="C340" s="255" t="s">
        <v>1139</v>
      </c>
      <c r="D340" s="278" t="str">
        <f>VLOOKUP(B340,Attendance!$B$6:$D$385,3,0)</f>
        <v>Sr. Territory Sales Officer</v>
      </c>
      <c r="E340" s="278" t="s">
        <v>1185</v>
      </c>
      <c r="F340" s="523">
        <v>45300</v>
      </c>
      <c r="G340" s="257">
        <f>VLOOKUP(B340,Attendance!$B$6:$G$386,6,0)</f>
        <v>31</v>
      </c>
      <c r="H340" s="258">
        <f>VLOOKUP(B$8:B$380,Attendance!$B$6:$L$386,11,0)</f>
        <v>0</v>
      </c>
      <c r="I340" s="257">
        <f t="shared" si="341"/>
        <v>31</v>
      </c>
      <c r="J340" s="258">
        <f t="shared" si="342"/>
        <v>806.45161290322585</v>
      </c>
      <c r="K340" s="72">
        <v>25000</v>
      </c>
      <c r="L340" s="72">
        <f t="shared" si="343"/>
        <v>15000</v>
      </c>
      <c r="M340" s="72">
        <f t="shared" si="344"/>
        <v>7500</v>
      </c>
      <c r="N340" s="72">
        <f t="shared" si="345"/>
        <v>1500</v>
      </c>
      <c r="O340" s="72">
        <f t="shared" si="346"/>
        <v>1000</v>
      </c>
      <c r="P340" s="344"/>
      <c r="Q340" s="345">
        <f t="shared" si="347"/>
        <v>25000</v>
      </c>
      <c r="R340" s="345">
        <f t="shared" si="348"/>
        <v>25000</v>
      </c>
      <c r="S340" s="337">
        <v>0</v>
      </c>
      <c r="T340" s="337">
        <v>0</v>
      </c>
      <c r="U340" s="263"/>
      <c r="V340" s="338">
        <f t="shared" si="349"/>
        <v>25000</v>
      </c>
      <c r="W340" s="72"/>
      <c r="X340" s="261">
        <f>IFERROR(VLOOKUP(B340,'Lunch bill'!$B$6:$H$30,7,0),0)</f>
        <v>0</v>
      </c>
      <c r="Y340" s="261">
        <f t="shared" si="350"/>
        <v>0</v>
      </c>
      <c r="Z340" s="261">
        <f>IFERROR(VLOOKUP(B340,'55 Bike '!$B$7:$J$139,9,0),0)</f>
        <v>2175</v>
      </c>
      <c r="AA340" s="261"/>
      <c r="AB340" s="73">
        <f t="shared" si="351"/>
        <v>2175</v>
      </c>
      <c r="AC340" s="73">
        <f t="shared" si="352"/>
        <v>22825</v>
      </c>
      <c r="AD340" s="264" t="s">
        <v>23</v>
      </c>
      <c r="AE340" s="256" t="s">
        <v>1181</v>
      </c>
      <c r="AF340" s="838"/>
      <c r="AG340" s="205"/>
      <c r="AH340" s="383"/>
      <c r="AI340" s="543"/>
      <c r="AJ340" s="548"/>
      <c r="AK340" s="548"/>
      <c r="AL340" s="198"/>
      <c r="AM340" s="320"/>
      <c r="AN340" s="61"/>
      <c r="AO340" s="61"/>
      <c r="AP340" s="198"/>
      <c r="AQ340" s="61"/>
    </row>
    <row r="341" spans="1:43" s="47" customFormat="1" ht="30" customHeight="1">
      <c r="A341" s="253">
        <v>9</v>
      </c>
      <c r="B341" s="254" t="s">
        <v>1156</v>
      </c>
      <c r="C341" s="255" t="s">
        <v>1157</v>
      </c>
      <c r="D341" s="278" t="str">
        <f>VLOOKUP(B341,Attendance!$B$6:$D$385,3,0)</f>
        <v>Asst. General Manager</v>
      </c>
      <c r="E341" s="278" t="s">
        <v>1185</v>
      </c>
      <c r="F341" s="523">
        <v>45325</v>
      </c>
      <c r="G341" s="257">
        <f>VLOOKUP(B341,Attendance!$B$6:$G$386,6,0)</f>
        <v>31</v>
      </c>
      <c r="H341" s="258">
        <f>VLOOKUP(B$8:B$380,Attendance!$B$6:$L$386,11,0)</f>
        <v>0</v>
      </c>
      <c r="I341" s="257">
        <f t="shared" si="341"/>
        <v>31</v>
      </c>
      <c r="J341" s="258">
        <f t="shared" si="342"/>
        <v>3870.9677419354839</v>
      </c>
      <c r="K341" s="72">
        <v>120000</v>
      </c>
      <c r="L341" s="72">
        <f t="shared" si="343"/>
        <v>72000</v>
      </c>
      <c r="M341" s="72">
        <f t="shared" si="344"/>
        <v>36000</v>
      </c>
      <c r="N341" s="72">
        <f t="shared" si="345"/>
        <v>7200</v>
      </c>
      <c r="O341" s="72">
        <f t="shared" si="346"/>
        <v>4800</v>
      </c>
      <c r="P341" s="344"/>
      <c r="Q341" s="345">
        <f t="shared" si="347"/>
        <v>120000</v>
      </c>
      <c r="R341" s="345">
        <f t="shared" si="348"/>
        <v>120000</v>
      </c>
      <c r="S341" s="337">
        <v>0</v>
      </c>
      <c r="T341" s="337">
        <v>0</v>
      </c>
      <c r="U341" s="263"/>
      <c r="V341" s="338">
        <f t="shared" si="349"/>
        <v>120000</v>
      </c>
      <c r="W341" s="72">
        <v>4465</v>
      </c>
      <c r="X341" s="261">
        <f>IFERROR(VLOOKUP(B341,'Lunch bill'!$B$6:$H$30,7,0),0)</f>
        <v>0</v>
      </c>
      <c r="Y341" s="261">
        <f t="shared" si="350"/>
        <v>0</v>
      </c>
      <c r="Z341" s="261">
        <f>IFERROR(VLOOKUP(B341,'55 Bike '!$B$7:$J$139,9,0),0)</f>
        <v>0</v>
      </c>
      <c r="AA341" s="261"/>
      <c r="AB341" s="73">
        <f t="shared" si="351"/>
        <v>4465</v>
      </c>
      <c r="AC341" s="73">
        <f t="shared" si="352"/>
        <v>115535</v>
      </c>
      <c r="AD341" s="264" t="s">
        <v>23</v>
      </c>
      <c r="AE341" s="256" t="s">
        <v>1179</v>
      </c>
      <c r="AF341" s="838"/>
      <c r="AG341" s="205"/>
      <c r="AH341" s="383"/>
      <c r="AI341" s="543"/>
      <c r="AJ341" s="548"/>
      <c r="AK341" s="548"/>
      <c r="AL341" s="198"/>
      <c r="AM341" s="320"/>
      <c r="AN341" s="61"/>
      <c r="AO341" s="61"/>
      <c r="AP341" s="198"/>
      <c r="AQ341" s="61"/>
    </row>
    <row r="342" spans="1:43" s="47" customFormat="1" ht="26.25" customHeight="1">
      <c r="A342" s="253">
        <v>10</v>
      </c>
      <c r="B342" s="254" t="s">
        <v>1164</v>
      </c>
      <c r="C342" s="255" t="s">
        <v>1165</v>
      </c>
      <c r="D342" s="278" t="str">
        <f>VLOOKUP(B342,Attendance!$B$6:$D$385,3,0)</f>
        <v>Office Assistant</v>
      </c>
      <c r="E342" s="278" t="s">
        <v>1185</v>
      </c>
      <c r="F342" s="523">
        <v>45336</v>
      </c>
      <c r="G342" s="257">
        <f>VLOOKUP(B342,Attendance!$B$6:$G$386,6,0)</f>
        <v>31</v>
      </c>
      <c r="H342" s="258">
        <f>VLOOKUP(B$8:B$380,Attendance!$B$6:$L$386,11,0)</f>
        <v>0</v>
      </c>
      <c r="I342" s="257">
        <f t="shared" si="341"/>
        <v>31</v>
      </c>
      <c r="J342" s="258">
        <f t="shared" si="342"/>
        <v>580.64516129032256</v>
      </c>
      <c r="K342" s="72">
        <v>18000</v>
      </c>
      <c r="L342" s="72">
        <f t="shared" si="343"/>
        <v>10800</v>
      </c>
      <c r="M342" s="72">
        <f t="shared" si="344"/>
        <v>5400</v>
      </c>
      <c r="N342" s="72">
        <f t="shared" si="345"/>
        <v>1080</v>
      </c>
      <c r="O342" s="72">
        <f t="shared" si="346"/>
        <v>720</v>
      </c>
      <c r="P342" s="344"/>
      <c r="Q342" s="345">
        <f t="shared" si="347"/>
        <v>18000</v>
      </c>
      <c r="R342" s="345">
        <f t="shared" si="348"/>
        <v>18000</v>
      </c>
      <c r="S342" s="337">
        <v>0</v>
      </c>
      <c r="T342" s="337">
        <v>0</v>
      </c>
      <c r="U342" s="263"/>
      <c r="V342" s="338">
        <f t="shared" si="349"/>
        <v>18000</v>
      </c>
      <c r="W342" s="72"/>
      <c r="X342" s="261">
        <f>IFERROR(VLOOKUP(B342,'Lunch bill'!$B$6:$H$30,7,0),0)</f>
        <v>0</v>
      </c>
      <c r="Y342" s="261">
        <f t="shared" si="350"/>
        <v>0</v>
      </c>
      <c r="Z342" s="261">
        <f>IFERROR(VLOOKUP(B342,'55 Bike '!$B$7:$J$139,9,0),0)</f>
        <v>0</v>
      </c>
      <c r="AA342" s="261"/>
      <c r="AB342" s="73">
        <f t="shared" si="351"/>
        <v>0</v>
      </c>
      <c r="AC342" s="73">
        <f t="shared" si="352"/>
        <v>18000</v>
      </c>
      <c r="AD342" s="264" t="s">
        <v>23</v>
      </c>
      <c r="AE342" s="256" t="s">
        <v>1258</v>
      </c>
      <c r="AF342" s="838"/>
      <c r="AG342" s="205"/>
      <c r="AH342" s="383"/>
      <c r="AI342" s="543"/>
      <c r="AJ342" s="548"/>
      <c r="AK342" s="548"/>
      <c r="AL342" s="198"/>
      <c r="AM342" s="320"/>
      <c r="AN342" s="61"/>
      <c r="AO342" s="61"/>
      <c r="AP342" s="198"/>
      <c r="AQ342" s="61"/>
    </row>
    <row r="343" spans="1:43" s="47" customFormat="1" ht="26.25" customHeight="1">
      <c r="A343" s="253">
        <v>11</v>
      </c>
      <c r="B343" s="254" t="s">
        <v>1170</v>
      </c>
      <c r="C343" s="255" t="s">
        <v>1171</v>
      </c>
      <c r="D343" s="278" t="str">
        <f>VLOOKUP(B343,Attendance!$B$6:$D$385,3,0)</f>
        <v>Office Assistant</v>
      </c>
      <c r="E343" s="278" t="s">
        <v>1185</v>
      </c>
      <c r="F343" s="523">
        <v>45337</v>
      </c>
      <c r="G343" s="257">
        <f>VLOOKUP(B343,Attendance!$B$6:$G$386,6,0)</f>
        <v>31</v>
      </c>
      <c r="H343" s="258">
        <f>VLOOKUP(B$8:B$380,Attendance!$B$6:$L$386,11,0)</f>
        <v>0</v>
      </c>
      <c r="I343" s="257">
        <f t="shared" si="341"/>
        <v>31</v>
      </c>
      <c r="J343" s="258">
        <f t="shared" si="342"/>
        <v>580.64516129032256</v>
      </c>
      <c r="K343" s="72">
        <v>18000</v>
      </c>
      <c r="L343" s="72">
        <f t="shared" si="343"/>
        <v>10800</v>
      </c>
      <c r="M343" s="72">
        <f t="shared" si="344"/>
        <v>5400</v>
      </c>
      <c r="N343" s="72">
        <f t="shared" si="345"/>
        <v>1080</v>
      </c>
      <c r="O343" s="72">
        <f t="shared" si="346"/>
        <v>720</v>
      </c>
      <c r="P343" s="344"/>
      <c r="Q343" s="345">
        <f t="shared" si="347"/>
        <v>18000</v>
      </c>
      <c r="R343" s="345">
        <f t="shared" si="348"/>
        <v>18000</v>
      </c>
      <c r="S343" s="337">
        <v>0</v>
      </c>
      <c r="T343" s="337">
        <v>0</v>
      </c>
      <c r="U343" s="263"/>
      <c r="V343" s="338">
        <f t="shared" si="349"/>
        <v>18000</v>
      </c>
      <c r="W343" s="72"/>
      <c r="X343" s="261">
        <f>IFERROR(VLOOKUP(B343,'Lunch bill'!$B$6:$H$30,7,0),0)</f>
        <v>0</v>
      </c>
      <c r="Y343" s="261">
        <f t="shared" si="350"/>
        <v>0</v>
      </c>
      <c r="Z343" s="261">
        <f>IFERROR(VLOOKUP(B343,'55 Bike '!$B$7:$J$139,9,0),0)</f>
        <v>0</v>
      </c>
      <c r="AA343" s="261"/>
      <c r="AB343" s="73">
        <f t="shared" si="351"/>
        <v>0</v>
      </c>
      <c r="AC343" s="73">
        <f t="shared" si="352"/>
        <v>18000</v>
      </c>
      <c r="AD343" s="264" t="s">
        <v>23</v>
      </c>
      <c r="AE343" s="256" t="s">
        <v>1259</v>
      </c>
      <c r="AF343" s="838"/>
      <c r="AG343" s="205"/>
      <c r="AH343" s="383"/>
      <c r="AI343" s="543"/>
      <c r="AJ343" s="548"/>
      <c r="AK343" s="548"/>
      <c r="AL343" s="198"/>
      <c r="AM343" s="320"/>
      <c r="AN343" s="61"/>
      <c r="AO343" s="61"/>
      <c r="AP343" s="198"/>
      <c r="AQ343" s="61"/>
    </row>
    <row r="344" spans="1:43" s="47" customFormat="1" ht="26.25" customHeight="1">
      <c r="A344" s="253">
        <v>12</v>
      </c>
      <c r="B344" s="254" t="s">
        <v>1203</v>
      </c>
      <c r="C344" s="255" t="s">
        <v>1204</v>
      </c>
      <c r="D344" s="278" t="str">
        <f>VLOOKUP(B344,Attendance!$B$6:$D$385,3,0)</f>
        <v>Territory Sales Officer</v>
      </c>
      <c r="E344" s="278" t="s">
        <v>1185</v>
      </c>
      <c r="F344" s="523">
        <v>45355</v>
      </c>
      <c r="G344" s="257">
        <f>VLOOKUP(B344,Attendance!$B$6:$G$386,6,0)</f>
        <v>31</v>
      </c>
      <c r="H344" s="258">
        <f>VLOOKUP(B$8:B$380,Attendance!$B$6:$L$386,11,0)</f>
        <v>0</v>
      </c>
      <c r="I344" s="257">
        <f t="shared" si="341"/>
        <v>31</v>
      </c>
      <c r="J344" s="258">
        <f t="shared" si="342"/>
        <v>709.67741935483866</v>
      </c>
      <c r="K344" s="72">
        <v>22000</v>
      </c>
      <c r="L344" s="72">
        <f t="shared" si="343"/>
        <v>13200</v>
      </c>
      <c r="M344" s="72">
        <f t="shared" si="344"/>
        <v>6600</v>
      </c>
      <c r="N344" s="72">
        <f t="shared" si="345"/>
        <v>1320</v>
      </c>
      <c r="O344" s="72">
        <f t="shared" si="346"/>
        <v>880</v>
      </c>
      <c r="P344" s="344"/>
      <c r="Q344" s="345">
        <f t="shared" si="347"/>
        <v>22000</v>
      </c>
      <c r="R344" s="345">
        <f t="shared" si="348"/>
        <v>22000</v>
      </c>
      <c r="S344" s="337">
        <v>0</v>
      </c>
      <c r="T344" s="337">
        <v>0</v>
      </c>
      <c r="U344" s="263"/>
      <c r="V344" s="338">
        <f t="shared" si="349"/>
        <v>22000</v>
      </c>
      <c r="W344" s="72"/>
      <c r="X344" s="261">
        <f>IFERROR(VLOOKUP(B344,'Lunch bill'!$B$6:$H$30,7,0),0)</f>
        <v>0</v>
      </c>
      <c r="Y344" s="261">
        <f t="shared" si="350"/>
        <v>0</v>
      </c>
      <c r="Z344" s="261">
        <f>IFERROR(VLOOKUP(B344,'55 Bike '!$B$7:$J$139,9,0),0)</f>
        <v>0</v>
      </c>
      <c r="AA344" s="261"/>
      <c r="AB344" s="73">
        <f t="shared" si="351"/>
        <v>0</v>
      </c>
      <c r="AC344" s="73">
        <f t="shared" si="352"/>
        <v>22000</v>
      </c>
      <c r="AD344" s="264" t="s">
        <v>23</v>
      </c>
      <c r="AE344" s="256" t="s">
        <v>1260</v>
      </c>
      <c r="AF344" s="838"/>
      <c r="AG344" s="205"/>
      <c r="AH344" s="383"/>
      <c r="AI344" s="543"/>
      <c r="AJ344" s="548"/>
      <c r="AK344" s="548"/>
      <c r="AL344" s="198"/>
      <c r="AM344" s="320"/>
      <c r="AN344" s="61"/>
      <c r="AO344" s="61"/>
      <c r="AP344" s="198"/>
      <c r="AQ344" s="61"/>
    </row>
    <row r="345" spans="1:43" s="47" customFormat="1" ht="26.25" customHeight="1">
      <c r="A345" s="253">
        <v>13</v>
      </c>
      <c r="B345" s="254" t="s">
        <v>1210</v>
      </c>
      <c r="C345" s="255" t="s">
        <v>1211</v>
      </c>
      <c r="D345" s="278" t="str">
        <f>VLOOKUP(B345,Attendance!$B$6:$D$385,3,0)</f>
        <v>Territory Sales Officer</v>
      </c>
      <c r="E345" s="278" t="s">
        <v>1185</v>
      </c>
      <c r="F345" s="523">
        <v>45357</v>
      </c>
      <c r="G345" s="257">
        <f>VLOOKUP(B345,Attendance!$B$6:$G$386,6,0)</f>
        <v>31</v>
      </c>
      <c r="H345" s="258">
        <f>VLOOKUP(B$8:B$380,Attendance!$B$6:$L$386,11,0)</f>
        <v>0</v>
      </c>
      <c r="I345" s="257">
        <f t="shared" si="341"/>
        <v>31</v>
      </c>
      <c r="J345" s="258">
        <f t="shared" si="342"/>
        <v>645.16129032258061</v>
      </c>
      <c r="K345" s="72">
        <v>20000</v>
      </c>
      <c r="L345" s="72">
        <f t="shared" si="343"/>
        <v>12000</v>
      </c>
      <c r="M345" s="72">
        <f t="shared" si="344"/>
        <v>6000</v>
      </c>
      <c r="N345" s="72">
        <f t="shared" si="345"/>
        <v>1200</v>
      </c>
      <c r="O345" s="72">
        <f t="shared" si="346"/>
        <v>800</v>
      </c>
      <c r="P345" s="344"/>
      <c r="Q345" s="345">
        <f t="shared" si="347"/>
        <v>20000</v>
      </c>
      <c r="R345" s="345">
        <f t="shared" si="348"/>
        <v>20000</v>
      </c>
      <c r="S345" s="337">
        <v>0</v>
      </c>
      <c r="T345" s="337">
        <v>0</v>
      </c>
      <c r="U345" s="263"/>
      <c r="V345" s="338">
        <f t="shared" si="349"/>
        <v>20000</v>
      </c>
      <c r="W345" s="72"/>
      <c r="X345" s="261">
        <f>IFERROR(VLOOKUP(B345,'Lunch bill'!$B$6:$H$30,7,0),0)</f>
        <v>0</v>
      </c>
      <c r="Y345" s="261">
        <f t="shared" si="350"/>
        <v>0</v>
      </c>
      <c r="Z345" s="261">
        <f>IFERROR(VLOOKUP(B345,'55 Bike '!$B$7:$J$139,9,0),0)</f>
        <v>0</v>
      </c>
      <c r="AA345" s="261"/>
      <c r="AB345" s="73">
        <f t="shared" si="351"/>
        <v>0</v>
      </c>
      <c r="AC345" s="73">
        <f t="shared" si="352"/>
        <v>20000</v>
      </c>
      <c r="AD345" s="264" t="s">
        <v>23</v>
      </c>
      <c r="AE345" s="256" t="s">
        <v>1261</v>
      </c>
      <c r="AF345" s="838"/>
      <c r="AG345" s="205"/>
      <c r="AH345" s="383"/>
      <c r="AI345" s="543"/>
      <c r="AJ345" s="548"/>
      <c r="AK345" s="548"/>
      <c r="AL345" s="198"/>
      <c r="AM345" s="320"/>
      <c r="AN345" s="61"/>
      <c r="AO345" s="61"/>
      <c r="AP345" s="198"/>
      <c r="AQ345" s="61"/>
    </row>
    <row r="346" spans="1:43" s="47" customFormat="1" ht="26.25" customHeight="1">
      <c r="A346" s="253">
        <v>14</v>
      </c>
      <c r="B346" s="254" t="s">
        <v>1212</v>
      </c>
      <c r="C346" s="255" t="s">
        <v>1213</v>
      </c>
      <c r="D346" s="278" t="str">
        <f>VLOOKUP(B346,Attendance!$B$6:$D$385,3,0)</f>
        <v>Territory Sales Officer</v>
      </c>
      <c r="E346" s="278" t="s">
        <v>1185</v>
      </c>
      <c r="F346" s="523">
        <v>45357</v>
      </c>
      <c r="G346" s="257">
        <f>VLOOKUP(B346,Attendance!$B$6:$G$386,6,0)</f>
        <v>31</v>
      </c>
      <c r="H346" s="258">
        <f>VLOOKUP(B$8:B$380,Attendance!$B$6:$L$386,11,0)</f>
        <v>0</v>
      </c>
      <c r="I346" s="257">
        <f t="shared" si="341"/>
        <v>31</v>
      </c>
      <c r="J346" s="258">
        <f t="shared" si="342"/>
        <v>645.16129032258061</v>
      </c>
      <c r="K346" s="72">
        <v>20000</v>
      </c>
      <c r="L346" s="72">
        <f t="shared" si="343"/>
        <v>12000</v>
      </c>
      <c r="M346" s="72">
        <f t="shared" si="344"/>
        <v>6000</v>
      </c>
      <c r="N346" s="72">
        <f t="shared" si="345"/>
        <v>1200</v>
      </c>
      <c r="O346" s="72">
        <f t="shared" si="346"/>
        <v>800</v>
      </c>
      <c r="P346" s="344"/>
      <c r="Q346" s="345">
        <f t="shared" si="347"/>
        <v>20000</v>
      </c>
      <c r="R346" s="345">
        <f t="shared" si="348"/>
        <v>20000</v>
      </c>
      <c r="S346" s="337">
        <v>0</v>
      </c>
      <c r="T346" s="337">
        <v>0</v>
      </c>
      <c r="U346" s="263"/>
      <c r="V346" s="338">
        <f t="shared" si="349"/>
        <v>20000</v>
      </c>
      <c r="W346" s="72"/>
      <c r="X346" s="261">
        <f>IFERROR(VLOOKUP(B346,'Lunch bill'!$B$6:$H$30,7,0),0)</f>
        <v>0</v>
      </c>
      <c r="Y346" s="261">
        <f t="shared" si="350"/>
        <v>0</v>
      </c>
      <c r="Z346" s="261">
        <f>IFERROR(VLOOKUP(B346,'55 Bike '!$B$7:$J$139,9,0),0)</f>
        <v>2175</v>
      </c>
      <c r="AA346" s="261"/>
      <c r="AB346" s="73">
        <f t="shared" si="351"/>
        <v>2175</v>
      </c>
      <c r="AC346" s="73">
        <f t="shared" si="352"/>
        <v>17825</v>
      </c>
      <c r="AD346" s="264" t="s">
        <v>23</v>
      </c>
      <c r="AE346" s="256" t="s">
        <v>1262</v>
      </c>
      <c r="AF346" s="838"/>
      <c r="AG346" s="205"/>
      <c r="AH346" s="383"/>
      <c r="AI346" s="543"/>
      <c r="AJ346" s="548"/>
      <c r="AK346" s="548"/>
      <c r="AL346" s="198"/>
      <c r="AM346" s="320"/>
      <c r="AN346" s="61"/>
      <c r="AO346" s="61"/>
      <c r="AP346" s="198"/>
      <c r="AQ346" s="61"/>
    </row>
    <row r="347" spans="1:43" s="47" customFormat="1" ht="26.25" customHeight="1">
      <c r="A347" s="253">
        <v>15</v>
      </c>
      <c r="B347" s="254" t="s">
        <v>1214</v>
      </c>
      <c r="C347" s="255" t="s">
        <v>1215</v>
      </c>
      <c r="D347" s="278" t="str">
        <f>VLOOKUP(B347,Attendance!$B$6:$D$385,3,0)</f>
        <v>Territory Sales Officer</v>
      </c>
      <c r="E347" s="278" t="s">
        <v>1185</v>
      </c>
      <c r="F347" s="523">
        <v>45357</v>
      </c>
      <c r="G347" s="257">
        <f>VLOOKUP(B347,Attendance!$B$6:$G$386,6,0)</f>
        <v>31</v>
      </c>
      <c r="H347" s="258">
        <f>VLOOKUP(B$8:B$380,Attendance!$B$6:$L$386,11,0)</f>
        <v>0</v>
      </c>
      <c r="I347" s="257">
        <f t="shared" si="341"/>
        <v>31</v>
      </c>
      <c r="J347" s="258">
        <f t="shared" si="342"/>
        <v>741.93548387096769</v>
      </c>
      <c r="K347" s="72">
        <v>23000</v>
      </c>
      <c r="L347" s="72">
        <f t="shared" si="343"/>
        <v>13800</v>
      </c>
      <c r="M347" s="72">
        <f t="shared" si="344"/>
        <v>6900</v>
      </c>
      <c r="N347" s="72">
        <f t="shared" si="345"/>
        <v>1380</v>
      </c>
      <c r="O347" s="72">
        <f t="shared" si="346"/>
        <v>920</v>
      </c>
      <c r="P347" s="344"/>
      <c r="Q347" s="345">
        <f t="shared" si="347"/>
        <v>23000</v>
      </c>
      <c r="R347" s="345">
        <f t="shared" si="348"/>
        <v>23000</v>
      </c>
      <c r="S347" s="337">
        <v>0</v>
      </c>
      <c r="T347" s="337">
        <v>0</v>
      </c>
      <c r="U347" s="263"/>
      <c r="V347" s="338">
        <f t="shared" si="349"/>
        <v>23000</v>
      </c>
      <c r="W347" s="72"/>
      <c r="X347" s="261">
        <f>IFERROR(VLOOKUP(B347,'Lunch bill'!$B$6:$H$30,7,0),0)</f>
        <v>0</v>
      </c>
      <c r="Y347" s="261">
        <f t="shared" si="350"/>
        <v>0</v>
      </c>
      <c r="Z347" s="261">
        <f>IFERROR(VLOOKUP(B347,'55 Bike '!$B$7:$J$139,9,0),0)</f>
        <v>2175</v>
      </c>
      <c r="AA347" s="261"/>
      <c r="AB347" s="73">
        <f t="shared" si="351"/>
        <v>2175</v>
      </c>
      <c r="AC347" s="73">
        <f t="shared" si="352"/>
        <v>20825</v>
      </c>
      <c r="AD347" s="264" t="s">
        <v>23</v>
      </c>
      <c r="AE347" s="256" t="s">
        <v>1263</v>
      </c>
      <c r="AF347" s="838"/>
      <c r="AG347" s="205"/>
      <c r="AH347" s="383"/>
      <c r="AI347" s="543"/>
      <c r="AJ347" s="548"/>
      <c r="AK347" s="548"/>
      <c r="AL347" s="198"/>
      <c r="AM347" s="320"/>
      <c r="AN347" s="61"/>
      <c r="AO347" s="61"/>
      <c r="AP347" s="198"/>
      <c r="AQ347" s="61"/>
    </row>
    <row r="348" spans="1:43" s="47" customFormat="1" ht="30" customHeight="1">
      <c r="A348" s="253">
        <v>16</v>
      </c>
      <c r="B348" s="254" t="s">
        <v>1222</v>
      </c>
      <c r="C348" s="255" t="s">
        <v>1189</v>
      </c>
      <c r="D348" s="278" t="str">
        <f>VLOOKUP(B348,Attendance!$B$6:$D$385,3,0)</f>
        <v>Sr. Territory Sales Officer</v>
      </c>
      <c r="E348" s="278" t="s">
        <v>1185</v>
      </c>
      <c r="F348" s="523">
        <v>45367</v>
      </c>
      <c r="G348" s="257">
        <f>VLOOKUP(B348,Attendance!$B$6:$G$386,6,0)</f>
        <v>31</v>
      </c>
      <c r="H348" s="258">
        <f>VLOOKUP(B$8:B$380,Attendance!$B$6:$L$386,11,0)</f>
        <v>0</v>
      </c>
      <c r="I348" s="257">
        <f t="shared" si="341"/>
        <v>31</v>
      </c>
      <c r="J348" s="258">
        <f t="shared" si="342"/>
        <v>838.70967741935488</v>
      </c>
      <c r="K348" s="72">
        <v>26000</v>
      </c>
      <c r="L348" s="72">
        <f t="shared" si="343"/>
        <v>15600</v>
      </c>
      <c r="M348" s="72">
        <f t="shared" si="344"/>
        <v>7800</v>
      </c>
      <c r="N348" s="72">
        <f t="shared" si="345"/>
        <v>1560</v>
      </c>
      <c r="O348" s="72">
        <f t="shared" si="346"/>
        <v>1040</v>
      </c>
      <c r="P348" s="344"/>
      <c r="Q348" s="345">
        <f t="shared" si="347"/>
        <v>26000</v>
      </c>
      <c r="R348" s="345">
        <f t="shared" si="348"/>
        <v>26000</v>
      </c>
      <c r="S348" s="337">
        <v>0</v>
      </c>
      <c r="T348" s="337">
        <v>0</v>
      </c>
      <c r="U348" s="263"/>
      <c r="V348" s="338">
        <f t="shared" si="349"/>
        <v>26000</v>
      </c>
      <c r="W348" s="72"/>
      <c r="X348" s="261">
        <f>IFERROR(VLOOKUP(B348,'Lunch bill'!$B$6:$H$30,7,0),0)</f>
        <v>0</v>
      </c>
      <c r="Y348" s="261">
        <f t="shared" si="350"/>
        <v>0</v>
      </c>
      <c r="Z348" s="261">
        <f>IFERROR(VLOOKUP(B348,'55 Bike '!$B$7:$J$139,9,0),0)</f>
        <v>2175</v>
      </c>
      <c r="AA348" s="261"/>
      <c r="AB348" s="73">
        <f t="shared" si="351"/>
        <v>2175</v>
      </c>
      <c r="AC348" s="73">
        <f t="shared" si="352"/>
        <v>23825</v>
      </c>
      <c r="AD348" s="264" t="s">
        <v>23</v>
      </c>
      <c r="AE348" s="256" t="s">
        <v>1264</v>
      </c>
      <c r="AF348" s="838"/>
      <c r="AG348" s="205"/>
      <c r="AH348" s="383"/>
      <c r="AI348" s="543"/>
      <c r="AJ348" s="548"/>
      <c r="AK348" s="548"/>
      <c r="AL348" s="198"/>
      <c r="AM348" s="320"/>
      <c r="AN348" s="61"/>
      <c r="AO348" s="61"/>
      <c r="AP348" s="198"/>
      <c r="AQ348" s="61"/>
    </row>
    <row r="349" spans="1:43" s="47" customFormat="1" ht="30" customHeight="1">
      <c r="A349" s="253">
        <v>17</v>
      </c>
      <c r="B349" s="254" t="s">
        <v>1223</v>
      </c>
      <c r="C349" s="255" t="s">
        <v>1224</v>
      </c>
      <c r="D349" s="278" t="str">
        <f>VLOOKUP(B349,Attendance!$B$6:$D$385,3,0)</f>
        <v>Sr. Territory Sales Officer</v>
      </c>
      <c r="E349" s="278" t="s">
        <v>1185</v>
      </c>
      <c r="F349" s="523">
        <v>45367</v>
      </c>
      <c r="G349" s="257">
        <f>VLOOKUP(B349,Attendance!$B$6:$G$386,6,0)</f>
        <v>31</v>
      </c>
      <c r="H349" s="258">
        <f>VLOOKUP(B$8:B$380,Attendance!$B$6:$L$386,11,0)</f>
        <v>0</v>
      </c>
      <c r="I349" s="257">
        <f t="shared" si="341"/>
        <v>31</v>
      </c>
      <c r="J349" s="258">
        <f t="shared" si="342"/>
        <v>806.45161290322585</v>
      </c>
      <c r="K349" s="72">
        <v>25000</v>
      </c>
      <c r="L349" s="72">
        <f t="shared" si="343"/>
        <v>15000</v>
      </c>
      <c r="M349" s="72">
        <f t="shared" si="344"/>
        <v>7500</v>
      </c>
      <c r="N349" s="72">
        <f t="shared" si="345"/>
        <v>1500</v>
      </c>
      <c r="O349" s="72">
        <f t="shared" si="346"/>
        <v>1000</v>
      </c>
      <c r="P349" s="344"/>
      <c r="Q349" s="345">
        <f t="shared" si="347"/>
        <v>25000</v>
      </c>
      <c r="R349" s="345">
        <f t="shared" si="348"/>
        <v>25000</v>
      </c>
      <c r="S349" s="337">
        <v>0</v>
      </c>
      <c r="T349" s="337">
        <v>0</v>
      </c>
      <c r="U349" s="263"/>
      <c r="V349" s="338">
        <f t="shared" si="349"/>
        <v>25000</v>
      </c>
      <c r="W349" s="72"/>
      <c r="X349" s="261">
        <f>IFERROR(VLOOKUP(B349,'Lunch bill'!$B$6:$H$30,7,0),0)</f>
        <v>0</v>
      </c>
      <c r="Y349" s="261">
        <f t="shared" si="350"/>
        <v>0</v>
      </c>
      <c r="Z349" s="261">
        <f>IFERROR(VLOOKUP(B349,'55 Bike '!$B$7:$J$139,9,0),0)</f>
        <v>0</v>
      </c>
      <c r="AA349" s="261"/>
      <c r="AB349" s="73">
        <f t="shared" si="351"/>
        <v>0</v>
      </c>
      <c r="AC349" s="73">
        <f t="shared" si="352"/>
        <v>25000</v>
      </c>
      <c r="AD349" s="264" t="s">
        <v>23</v>
      </c>
      <c r="AE349" s="256" t="s">
        <v>1275</v>
      </c>
      <c r="AF349" s="838"/>
      <c r="AG349" s="205"/>
      <c r="AH349" s="383"/>
      <c r="AI349" s="543"/>
      <c r="AJ349" s="548"/>
      <c r="AK349" s="548"/>
      <c r="AL349" s="198"/>
      <c r="AM349" s="320"/>
      <c r="AN349" s="61"/>
      <c r="AO349" s="61"/>
      <c r="AP349" s="198"/>
      <c r="AQ349" s="61"/>
    </row>
    <row r="350" spans="1:43" s="47" customFormat="1" ht="27" customHeight="1">
      <c r="A350" s="253">
        <v>18</v>
      </c>
      <c r="B350" s="254" t="s">
        <v>1296</v>
      </c>
      <c r="C350" s="255" t="s">
        <v>1297</v>
      </c>
      <c r="D350" s="278" t="str">
        <f>VLOOKUP(B350,Attendance!$B$6:$D$385,3,0)</f>
        <v>Territory Sales Officer</v>
      </c>
      <c r="E350" s="278" t="s">
        <v>1185</v>
      </c>
      <c r="F350" s="523">
        <v>45398</v>
      </c>
      <c r="G350" s="257">
        <f>VLOOKUP(B350,Attendance!$B$6:$G$386,6,0)</f>
        <v>31</v>
      </c>
      <c r="H350" s="258">
        <f>VLOOKUP(B$8:B$380,Attendance!$B$6:$L$386,11,0)</f>
        <v>0</v>
      </c>
      <c r="I350" s="257">
        <f t="shared" si="341"/>
        <v>31</v>
      </c>
      <c r="J350" s="258">
        <f t="shared" si="342"/>
        <v>741.93548387096769</v>
      </c>
      <c r="K350" s="72">
        <v>23000</v>
      </c>
      <c r="L350" s="72">
        <f t="shared" si="343"/>
        <v>13800</v>
      </c>
      <c r="M350" s="72">
        <f t="shared" si="344"/>
        <v>6900</v>
      </c>
      <c r="N350" s="72">
        <f t="shared" si="345"/>
        <v>1380</v>
      </c>
      <c r="O350" s="72">
        <f t="shared" si="346"/>
        <v>920</v>
      </c>
      <c r="P350" s="344"/>
      <c r="Q350" s="345">
        <f t="shared" si="347"/>
        <v>23000</v>
      </c>
      <c r="R350" s="345">
        <f t="shared" si="348"/>
        <v>23000</v>
      </c>
      <c r="S350" s="337">
        <v>0</v>
      </c>
      <c r="T350" s="337">
        <v>0</v>
      </c>
      <c r="U350" s="263"/>
      <c r="V350" s="338">
        <f t="shared" si="349"/>
        <v>23000</v>
      </c>
      <c r="W350" s="72"/>
      <c r="X350" s="261">
        <f>IFERROR(VLOOKUP(B350,'Lunch bill'!$B$6:$H$30,7,0),0)</f>
        <v>0</v>
      </c>
      <c r="Y350" s="261">
        <f t="shared" si="350"/>
        <v>0</v>
      </c>
      <c r="Z350" s="261">
        <f>IFERROR(VLOOKUP(B350,'55 Bike '!$B$7:$J$139,9,0),0)</f>
        <v>0</v>
      </c>
      <c r="AA350" s="261"/>
      <c r="AB350" s="73">
        <f t="shared" si="351"/>
        <v>0</v>
      </c>
      <c r="AC350" s="73">
        <f t="shared" si="352"/>
        <v>23000</v>
      </c>
      <c r="AD350" s="264" t="s">
        <v>23</v>
      </c>
      <c r="AE350" s="256" t="s">
        <v>1346</v>
      </c>
      <c r="AF350" s="838"/>
      <c r="AG350" s="205"/>
      <c r="AH350" s="383"/>
      <c r="AI350" s="543"/>
      <c r="AJ350" s="548"/>
      <c r="AK350" s="548"/>
      <c r="AL350" s="198"/>
      <c r="AM350" s="320"/>
      <c r="AN350" s="61"/>
      <c r="AO350" s="61"/>
      <c r="AP350" s="198"/>
      <c r="AQ350" s="61"/>
    </row>
    <row r="351" spans="1:43" s="47" customFormat="1" ht="27" customHeight="1">
      <c r="A351" s="253">
        <v>19</v>
      </c>
      <c r="B351" s="254" t="s">
        <v>1298</v>
      </c>
      <c r="C351" s="255" t="s">
        <v>1299</v>
      </c>
      <c r="D351" s="278" t="str">
        <f>VLOOKUP(B351,Attendance!$B$6:$D$385,3,0)</f>
        <v>Territory Sales Officer</v>
      </c>
      <c r="E351" s="278" t="s">
        <v>1185</v>
      </c>
      <c r="F351" s="523">
        <v>45398</v>
      </c>
      <c r="G351" s="257">
        <f>VLOOKUP(B351,Attendance!$B$6:$G$386,6,0)</f>
        <v>31</v>
      </c>
      <c r="H351" s="258">
        <f>VLOOKUP(B$8:B$380,Attendance!$B$6:$L$386,11,0)</f>
        <v>0</v>
      </c>
      <c r="I351" s="257">
        <f t="shared" si="341"/>
        <v>31</v>
      </c>
      <c r="J351" s="258">
        <f t="shared" si="342"/>
        <v>741.93548387096769</v>
      </c>
      <c r="K351" s="72">
        <v>23000</v>
      </c>
      <c r="L351" s="72">
        <f t="shared" si="343"/>
        <v>13800</v>
      </c>
      <c r="M351" s="72">
        <f t="shared" si="344"/>
        <v>6900</v>
      </c>
      <c r="N351" s="72">
        <f t="shared" si="345"/>
        <v>1380</v>
      </c>
      <c r="O351" s="72">
        <f t="shared" si="346"/>
        <v>920</v>
      </c>
      <c r="P351" s="344"/>
      <c r="Q351" s="345">
        <f t="shared" si="347"/>
        <v>23000</v>
      </c>
      <c r="R351" s="345">
        <f t="shared" si="348"/>
        <v>23000</v>
      </c>
      <c r="S351" s="337">
        <v>0</v>
      </c>
      <c r="T351" s="337">
        <v>0</v>
      </c>
      <c r="U351" s="263"/>
      <c r="V351" s="338">
        <f t="shared" si="349"/>
        <v>23000</v>
      </c>
      <c r="W351" s="72"/>
      <c r="X351" s="261">
        <f>IFERROR(VLOOKUP(B351,'Lunch bill'!$B$6:$H$30,7,0),0)</f>
        <v>0</v>
      </c>
      <c r="Y351" s="261">
        <f t="shared" si="350"/>
        <v>0</v>
      </c>
      <c r="Z351" s="261">
        <f>IFERROR(VLOOKUP(B351,'55 Bike '!$B$7:$J$139,9,0),0)</f>
        <v>0</v>
      </c>
      <c r="AA351" s="261"/>
      <c r="AB351" s="73">
        <f t="shared" si="351"/>
        <v>0</v>
      </c>
      <c r="AC351" s="73">
        <f t="shared" si="352"/>
        <v>23000</v>
      </c>
      <c r="AD351" s="264" t="s">
        <v>23</v>
      </c>
      <c r="AE351" s="256" t="s">
        <v>1347</v>
      </c>
      <c r="AF351" s="838"/>
      <c r="AG351" s="205"/>
      <c r="AH351" s="383"/>
      <c r="AI351" s="543"/>
      <c r="AJ351" s="548"/>
      <c r="AK351" s="548"/>
      <c r="AL351" s="198"/>
      <c r="AM351" s="320"/>
      <c r="AN351" s="61"/>
      <c r="AO351" s="61"/>
      <c r="AP351" s="198"/>
      <c r="AQ351" s="61"/>
    </row>
    <row r="352" spans="1:43" s="47" customFormat="1" ht="27" customHeight="1">
      <c r="A352" s="253">
        <v>20</v>
      </c>
      <c r="B352" s="254" t="s">
        <v>1300</v>
      </c>
      <c r="C352" s="255" t="s">
        <v>1301</v>
      </c>
      <c r="D352" s="278" t="str">
        <f>VLOOKUP(B352,Attendance!$B$6:$D$385,3,0)</f>
        <v>Territory Sales Officer</v>
      </c>
      <c r="E352" s="278" t="s">
        <v>1185</v>
      </c>
      <c r="F352" s="523">
        <v>45398</v>
      </c>
      <c r="G352" s="257">
        <f>VLOOKUP(B352,Attendance!$B$6:$G$386,6,0)</f>
        <v>31</v>
      </c>
      <c r="H352" s="258">
        <f>VLOOKUP(B$8:B$380,Attendance!$B$6:$L$386,11,0)</f>
        <v>0</v>
      </c>
      <c r="I352" s="257">
        <f t="shared" si="341"/>
        <v>31</v>
      </c>
      <c r="J352" s="258">
        <f t="shared" si="342"/>
        <v>741.93548387096769</v>
      </c>
      <c r="K352" s="72">
        <v>23000</v>
      </c>
      <c r="L352" s="72">
        <f t="shared" si="343"/>
        <v>13800</v>
      </c>
      <c r="M352" s="72">
        <f t="shared" si="344"/>
        <v>6900</v>
      </c>
      <c r="N352" s="72">
        <f t="shared" si="345"/>
        <v>1380</v>
      </c>
      <c r="O352" s="72">
        <f t="shared" si="346"/>
        <v>920</v>
      </c>
      <c r="P352" s="344"/>
      <c r="Q352" s="345">
        <f t="shared" si="347"/>
        <v>23000</v>
      </c>
      <c r="R352" s="345">
        <f t="shared" si="348"/>
        <v>23000</v>
      </c>
      <c r="S352" s="337">
        <v>0</v>
      </c>
      <c r="T352" s="337">
        <v>0</v>
      </c>
      <c r="U352" s="263"/>
      <c r="V352" s="338">
        <f t="shared" si="349"/>
        <v>23000</v>
      </c>
      <c r="W352" s="72"/>
      <c r="X352" s="261">
        <f>IFERROR(VLOOKUP(B352,'Lunch bill'!$B$6:$H$30,7,0),0)</f>
        <v>0</v>
      </c>
      <c r="Y352" s="261">
        <f t="shared" si="350"/>
        <v>0</v>
      </c>
      <c r="Z352" s="261">
        <f>IFERROR(VLOOKUP(B352,'55 Bike '!$B$7:$J$139,9,0),0)</f>
        <v>2160</v>
      </c>
      <c r="AA352" s="261"/>
      <c r="AB352" s="73">
        <f t="shared" si="351"/>
        <v>2160</v>
      </c>
      <c r="AC352" s="73">
        <f t="shared" si="352"/>
        <v>20840</v>
      </c>
      <c r="AD352" s="264" t="s">
        <v>23</v>
      </c>
      <c r="AE352" s="256" t="s">
        <v>1348</v>
      </c>
      <c r="AF352" s="838"/>
      <c r="AG352" s="205"/>
      <c r="AH352" s="383"/>
      <c r="AI352" s="543"/>
      <c r="AJ352" s="548"/>
      <c r="AK352" s="548"/>
      <c r="AL352" s="198"/>
      <c r="AM352" s="320"/>
      <c r="AN352" s="61"/>
      <c r="AO352" s="61"/>
      <c r="AP352" s="198"/>
      <c r="AQ352" s="61"/>
    </row>
    <row r="353" spans="1:43" s="47" customFormat="1" ht="27" customHeight="1">
      <c r="A353" s="253">
        <v>21</v>
      </c>
      <c r="B353" s="254" t="s">
        <v>1302</v>
      </c>
      <c r="C353" s="255" t="s">
        <v>1303</v>
      </c>
      <c r="D353" s="278" t="str">
        <f>VLOOKUP(B353,Attendance!$B$6:$D$385,3,0)</f>
        <v>Territory Sales Officer</v>
      </c>
      <c r="E353" s="278" t="s">
        <v>1185</v>
      </c>
      <c r="F353" s="523">
        <v>45398</v>
      </c>
      <c r="G353" s="257">
        <f>VLOOKUP(B353,Attendance!$B$6:$G$386,6,0)</f>
        <v>31</v>
      </c>
      <c r="H353" s="258">
        <f>VLOOKUP(B$8:B$380,Attendance!$B$6:$L$386,11,0)</f>
        <v>0</v>
      </c>
      <c r="I353" s="257">
        <f t="shared" si="341"/>
        <v>31</v>
      </c>
      <c r="J353" s="258">
        <f t="shared" si="342"/>
        <v>741.93548387096769</v>
      </c>
      <c r="K353" s="72">
        <v>23000</v>
      </c>
      <c r="L353" s="72">
        <f t="shared" si="343"/>
        <v>13800</v>
      </c>
      <c r="M353" s="72">
        <f t="shared" si="344"/>
        <v>6900</v>
      </c>
      <c r="N353" s="72">
        <f t="shared" si="345"/>
        <v>1380</v>
      </c>
      <c r="O353" s="72">
        <f t="shared" si="346"/>
        <v>920</v>
      </c>
      <c r="P353" s="344"/>
      <c r="Q353" s="345">
        <f t="shared" si="347"/>
        <v>23000</v>
      </c>
      <c r="R353" s="345">
        <f t="shared" si="348"/>
        <v>23000</v>
      </c>
      <c r="S353" s="337">
        <v>0</v>
      </c>
      <c r="T353" s="337">
        <v>0</v>
      </c>
      <c r="U353" s="263"/>
      <c r="V353" s="338">
        <f t="shared" si="349"/>
        <v>23000</v>
      </c>
      <c r="W353" s="72"/>
      <c r="X353" s="261">
        <f>IFERROR(VLOOKUP(B353,'Lunch bill'!$B$6:$H$30,7,0),0)</f>
        <v>0</v>
      </c>
      <c r="Y353" s="261">
        <f t="shared" si="350"/>
        <v>0</v>
      </c>
      <c r="Z353" s="261">
        <f>IFERROR(VLOOKUP(B353,'55 Bike '!$B$7:$J$139,9,0),0)</f>
        <v>0</v>
      </c>
      <c r="AA353" s="261"/>
      <c r="AB353" s="73">
        <f t="shared" si="351"/>
        <v>0</v>
      </c>
      <c r="AC353" s="73">
        <f t="shared" si="352"/>
        <v>23000</v>
      </c>
      <c r="AD353" s="264" t="s">
        <v>23</v>
      </c>
      <c r="AE353" s="256" t="s">
        <v>1349</v>
      </c>
      <c r="AF353" s="838"/>
      <c r="AG353" s="205"/>
      <c r="AH353" s="383"/>
      <c r="AI353" s="543"/>
      <c r="AJ353" s="548"/>
      <c r="AK353" s="548"/>
      <c r="AL353" s="198"/>
      <c r="AM353" s="320"/>
      <c r="AN353" s="61"/>
      <c r="AO353" s="61"/>
      <c r="AP353" s="198"/>
      <c r="AQ353" s="61"/>
    </row>
    <row r="354" spans="1:43" s="47" customFormat="1" ht="27" customHeight="1">
      <c r="A354" s="253">
        <v>22</v>
      </c>
      <c r="B354" s="254" t="s">
        <v>1304</v>
      </c>
      <c r="C354" s="255" t="s">
        <v>1110</v>
      </c>
      <c r="D354" s="278" t="str">
        <f>VLOOKUP(B354,Attendance!$B$6:$D$385,3,0)</f>
        <v>Territory Sales Officer</v>
      </c>
      <c r="E354" s="278" t="s">
        <v>1185</v>
      </c>
      <c r="F354" s="523">
        <v>45398</v>
      </c>
      <c r="G354" s="257">
        <f>VLOOKUP(B354,Attendance!$B$6:$G$386,6,0)</f>
        <v>31</v>
      </c>
      <c r="H354" s="258">
        <f>VLOOKUP(B$8:B$380,Attendance!$B$6:$L$386,11,0)</f>
        <v>0</v>
      </c>
      <c r="I354" s="257">
        <f t="shared" si="341"/>
        <v>31</v>
      </c>
      <c r="J354" s="258">
        <f t="shared" si="342"/>
        <v>741.93548387096769</v>
      </c>
      <c r="K354" s="72">
        <v>23000</v>
      </c>
      <c r="L354" s="72">
        <f t="shared" si="343"/>
        <v>13800</v>
      </c>
      <c r="M354" s="72">
        <f t="shared" si="344"/>
        <v>6900</v>
      </c>
      <c r="N354" s="72">
        <f t="shared" si="345"/>
        <v>1380</v>
      </c>
      <c r="O354" s="72">
        <f t="shared" si="346"/>
        <v>920</v>
      </c>
      <c r="P354" s="344"/>
      <c r="Q354" s="345">
        <f t="shared" si="347"/>
        <v>23000</v>
      </c>
      <c r="R354" s="345">
        <f t="shared" si="348"/>
        <v>23000</v>
      </c>
      <c r="S354" s="337">
        <v>0</v>
      </c>
      <c r="T354" s="337">
        <v>0</v>
      </c>
      <c r="U354" s="263"/>
      <c r="V354" s="338">
        <f t="shared" si="349"/>
        <v>23000</v>
      </c>
      <c r="W354" s="72"/>
      <c r="X354" s="261">
        <f>IFERROR(VLOOKUP(B354,'Lunch bill'!$B$6:$H$30,7,0),0)</f>
        <v>0</v>
      </c>
      <c r="Y354" s="261">
        <f t="shared" si="350"/>
        <v>0</v>
      </c>
      <c r="Z354" s="261">
        <f>IFERROR(VLOOKUP(B354,'55 Bike '!$B$7:$J$139,9,0),0)</f>
        <v>0</v>
      </c>
      <c r="AA354" s="261"/>
      <c r="AB354" s="73">
        <f t="shared" si="351"/>
        <v>0</v>
      </c>
      <c r="AC354" s="73">
        <f t="shared" si="352"/>
        <v>23000</v>
      </c>
      <c r="AD354" s="264" t="s">
        <v>23</v>
      </c>
      <c r="AE354" s="256" t="s">
        <v>1350</v>
      </c>
      <c r="AF354" s="838"/>
      <c r="AG354" s="205"/>
      <c r="AH354" s="383"/>
      <c r="AI354" s="543"/>
      <c r="AJ354" s="548"/>
      <c r="AK354" s="548"/>
      <c r="AL354" s="198"/>
      <c r="AM354" s="320"/>
      <c r="AN354" s="61"/>
      <c r="AO354" s="61"/>
      <c r="AP354" s="198"/>
      <c r="AQ354" s="61"/>
    </row>
    <row r="355" spans="1:43" s="47" customFormat="1" ht="30" customHeight="1">
      <c r="A355" s="253">
        <v>23</v>
      </c>
      <c r="B355" s="254" t="s">
        <v>1305</v>
      </c>
      <c r="C355" s="255" t="s">
        <v>1306</v>
      </c>
      <c r="D355" s="278" t="str">
        <f>VLOOKUP(B355,Attendance!$B$6:$D$385,3,0)</f>
        <v>Territory Sales Officer</v>
      </c>
      <c r="E355" s="278" t="s">
        <v>1185</v>
      </c>
      <c r="F355" s="523">
        <v>45398</v>
      </c>
      <c r="G355" s="257">
        <f>VLOOKUP(B355,Attendance!$B$6:$G$386,6,0)</f>
        <v>31</v>
      </c>
      <c r="H355" s="258">
        <f>VLOOKUP(B$8:B$380,Attendance!$B$6:$L$386,11,0)</f>
        <v>0</v>
      </c>
      <c r="I355" s="257">
        <f t="shared" si="341"/>
        <v>31</v>
      </c>
      <c r="J355" s="258">
        <f t="shared" si="342"/>
        <v>741.93548387096769</v>
      </c>
      <c r="K355" s="72">
        <v>23000</v>
      </c>
      <c r="L355" s="72">
        <f t="shared" si="343"/>
        <v>13800</v>
      </c>
      <c r="M355" s="72">
        <f t="shared" si="344"/>
        <v>6900</v>
      </c>
      <c r="N355" s="72">
        <f t="shared" si="345"/>
        <v>1380</v>
      </c>
      <c r="O355" s="72">
        <f t="shared" si="346"/>
        <v>920</v>
      </c>
      <c r="P355" s="344"/>
      <c r="Q355" s="345">
        <f t="shared" si="347"/>
        <v>23000</v>
      </c>
      <c r="R355" s="345">
        <f t="shared" si="348"/>
        <v>23000</v>
      </c>
      <c r="S355" s="337">
        <v>0</v>
      </c>
      <c r="T355" s="337">
        <v>0</v>
      </c>
      <c r="U355" s="263"/>
      <c r="V355" s="338">
        <f t="shared" si="349"/>
        <v>23000</v>
      </c>
      <c r="W355" s="72"/>
      <c r="X355" s="261">
        <f>IFERROR(VLOOKUP(B355,'Lunch bill'!$B$6:$H$30,7,0),0)</f>
        <v>0</v>
      </c>
      <c r="Y355" s="261">
        <f t="shared" si="350"/>
        <v>0</v>
      </c>
      <c r="Z355" s="261">
        <f>IFERROR(VLOOKUP(B355,'55 Bike '!$B$7:$J$139,9,0),0)</f>
        <v>2175</v>
      </c>
      <c r="AA355" s="261"/>
      <c r="AB355" s="73">
        <f t="shared" si="351"/>
        <v>2175</v>
      </c>
      <c r="AC355" s="73">
        <f t="shared" si="352"/>
        <v>20825</v>
      </c>
      <c r="AD355" s="264" t="s">
        <v>23</v>
      </c>
      <c r="AE355" s="256" t="s">
        <v>1351</v>
      </c>
      <c r="AF355" s="838"/>
      <c r="AG355" s="205"/>
      <c r="AH355" s="383"/>
      <c r="AI355" s="543"/>
      <c r="AJ355" s="548"/>
      <c r="AK355" s="548"/>
      <c r="AL355" s="198"/>
      <c r="AM355" s="320"/>
      <c r="AN355" s="61"/>
      <c r="AO355" s="61"/>
      <c r="AP355" s="198"/>
      <c r="AQ355" s="61"/>
    </row>
    <row r="356" spans="1:43" s="47" customFormat="1" ht="30" customHeight="1">
      <c r="A356" s="253">
        <v>24</v>
      </c>
      <c r="B356" s="254" t="s">
        <v>1307</v>
      </c>
      <c r="C356" s="255" t="s">
        <v>1308</v>
      </c>
      <c r="D356" s="278" t="str">
        <f>VLOOKUP(B356,Attendance!$B$6:$D$385,3,0)</f>
        <v>Assistant Territory Sales officer</v>
      </c>
      <c r="E356" s="278" t="s">
        <v>1185</v>
      </c>
      <c r="F356" s="523">
        <v>45398</v>
      </c>
      <c r="G356" s="257">
        <f>VLOOKUP(B356,Attendance!$B$6:$G$386,6,0)</f>
        <v>31</v>
      </c>
      <c r="H356" s="258">
        <f>VLOOKUP(B$8:B$380,Attendance!$B$6:$L$386,11,0)</f>
        <v>0</v>
      </c>
      <c r="I356" s="257">
        <f t="shared" si="341"/>
        <v>31</v>
      </c>
      <c r="J356" s="258">
        <f t="shared" si="342"/>
        <v>580.64516129032256</v>
      </c>
      <c r="K356" s="72">
        <v>18000</v>
      </c>
      <c r="L356" s="72">
        <f t="shared" si="343"/>
        <v>10800</v>
      </c>
      <c r="M356" s="72">
        <f t="shared" si="344"/>
        <v>5400</v>
      </c>
      <c r="N356" s="72">
        <f t="shared" si="345"/>
        <v>1080</v>
      </c>
      <c r="O356" s="72">
        <f t="shared" si="346"/>
        <v>720</v>
      </c>
      <c r="P356" s="344"/>
      <c r="Q356" s="345">
        <f t="shared" si="347"/>
        <v>18000</v>
      </c>
      <c r="R356" s="345">
        <f t="shared" si="348"/>
        <v>18000</v>
      </c>
      <c r="S356" s="337">
        <v>0</v>
      </c>
      <c r="T356" s="337">
        <v>0</v>
      </c>
      <c r="U356" s="263"/>
      <c r="V356" s="338">
        <f t="shared" si="349"/>
        <v>18000</v>
      </c>
      <c r="W356" s="72"/>
      <c r="X356" s="261">
        <f>IFERROR(VLOOKUP(B356,'Lunch bill'!$B$6:$H$30,7,0),0)</f>
        <v>0</v>
      </c>
      <c r="Y356" s="261">
        <f t="shared" si="350"/>
        <v>0</v>
      </c>
      <c r="Z356" s="261">
        <f>IFERROR(VLOOKUP(B356,'55 Bike '!$B$7:$J$139,9,0),0)</f>
        <v>0</v>
      </c>
      <c r="AA356" s="261"/>
      <c r="AB356" s="73">
        <f t="shared" si="351"/>
        <v>0</v>
      </c>
      <c r="AC356" s="73">
        <f t="shared" si="352"/>
        <v>18000</v>
      </c>
      <c r="AD356" s="264" t="s">
        <v>23</v>
      </c>
      <c r="AE356" s="256" t="s">
        <v>1352</v>
      </c>
      <c r="AF356" s="838"/>
      <c r="AG356" s="205"/>
      <c r="AH356" s="383"/>
      <c r="AI356" s="543"/>
      <c r="AJ356" s="548"/>
      <c r="AK356" s="548"/>
      <c r="AL356" s="198"/>
      <c r="AM356" s="320"/>
      <c r="AN356" s="61"/>
      <c r="AO356" s="61"/>
      <c r="AP356" s="198"/>
      <c r="AQ356" s="61"/>
    </row>
    <row r="357" spans="1:43" s="47" customFormat="1" ht="30" customHeight="1">
      <c r="A357" s="253">
        <v>25</v>
      </c>
      <c r="B357" s="254" t="s">
        <v>1309</v>
      </c>
      <c r="C357" s="255" t="s">
        <v>1310</v>
      </c>
      <c r="D357" s="278" t="str">
        <f>VLOOKUP(B357,Attendance!$B$6:$D$385,3,0)</f>
        <v>Assistant Territory Sales officer</v>
      </c>
      <c r="E357" s="278" t="s">
        <v>1185</v>
      </c>
      <c r="F357" s="523">
        <v>45398</v>
      </c>
      <c r="G357" s="257">
        <f>VLOOKUP(B357,Attendance!$B$6:$G$386,6,0)</f>
        <v>31</v>
      </c>
      <c r="H357" s="258">
        <f>VLOOKUP(B$8:B$380,Attendance!$B$6:$L$386,11,0)</f>
        <v>0</v>
      </c>
      <c r="I357" s="257">
        <f t="shared" si="341"/>
        <v>31</v>
      </c>
      <c r="J357" s="258">
        <f t="shared" si="342"/>
        <v>580.64516129032256</v>
      </c>
      <c r="K357" s="72">
        <v>18000</v>
      </c>
      <c r="L357" s="72">
        <f t="shared" si="343"/>
        <v>10800</v>
      </c>
      <c r="M357" s="72">
        <f t="shared" si="344"/>
        <v>5400</v>
      </c>
      <c r="N357" s="72">
        <f t="shared" si="345"/>
        <v>1080</v>
      </c>
      <c r="O357" s="72">
        <f t="shared" si="346"/>
        <v>720</v>
      </c>
      <c r="P357" s="344"/>
      <c r="Q357" s="345">
        <f t="shared" si="347"/>
        <v>18000</v>
      </c>
      <c r="R357" s="345">
        <f t="shared" si="348"/>
        <v>18000</v>
      </c>
      <c r="S357" s="337">
        <v>0</v>
      </c>
      <c r="T357" s="337">
        <v>0</v>
      </c>
      <c r="U357" s="263"/>
      <c r="V357" s="338">
        <f t="shared" si="349"/>
        <v>18000</v>
      </c>
      <c r="W357" s="72"/>
      <c r="X357" s="261">
        <f>IFERROR(VLOOKUP(B357,'Lunch bill'!$B$6:$H$30,7,0),0)</f>
        <v>0</v>
      </c>
      <c r="Y357" s="261">
        <f t="shared" si="350"/>
        <v>0</v>
      </c>
      <c r="Z357" s="261">
        <f>IFERROR(VLOOKUP(B357,'55 Bike '!$B$7:$J$139,9,0),0)</f>
        <v>2160</v>
      </c>
      <c r="AA357" s="261"/>
      <c r="AB357" s="73">
        <f t="shared" si="351"/>
        <v>2160</v>
      </c>
      <c r="AC357" s="73">
        <f t="shared" si="352"/>
        <v>15840</v>
      </c>
      <c r="AD357" s="264" t="s">
        <v>23</v>
      </c>
      <c r="AE357" s="256" t="s">
        <v>1353</v>
      </c>
      <c r="AF357" s="838"/>
      <c r="AG357" s="205"/>
      <c r="AH357" s="383"/>
      <c r="AI357" s="543"/>
      <c r="AJ357" s="548"/>
      <c r="AK357" s="548"/>
      <c r="AL357" s="198"/>
      <c r="AM357" s="320"/>
      <c r="AN357" s="61"/>
      <c r="AO357" s="61"/>
      <c r="AP357" s="198"/>
      <c r="AQ357" s="61"/>
    </row>
    <row r="358" spans="1:43" s="47" customFormat="1" ht="30" customHeight="1">
      <c r="A358" s="253">
        <v>26</v>
      </c>
      <c r="B358" s="254" t="s">
        <v>1311</v>
      </c>
      <c r="C358" s="255" t="s">
        <v>1312</v>
      </c>
      <c r="D358" s="278" t="str">
        <f>VLOOKUP(B358,Attendance!$B$6:$D$385,3,0)</f>
        <v>Territory Sales Officer</v>
      </c>
      <c r="E358" s="278" t="s">
        <v>1185</v>
      </c>
      <c r="F358" s="523">
        <v>45398</v>
      </c>
      <c r="G358" s="257">
        <f>VLOOKUP(B358,Attendance!$B$6:$G$386,6,0)</f>
        <v>31</v>
      </c>
      <c r="H358" s="258">
        <f>VLOOKUP(B$8:B$380,Attendance!$B$6:$L$386,11,0)</f>
        <v>0</v>
      </c>
      <c r="I358" s="257">
        <f t="shared" si="341"/>
        <v>31</v>
      </c>
      <c r="J358" s="258">
        <f t="shared" si="342"/>
        <v>645.16129032258061</v>
      </c>
      <c r="K358" s="72">
        <v>20000</v>
      </c>
      <c r="L358" s="72">
        <f t="shared" si="343"/>
        <v>12000</v>
      </c>
      <c r="M358" s="72">
        <f t="shared" si="344"/>
        <v>6000</v>
      </c>
      <c r="N358" s="72">
        <f t="shared" si="345"/>
        <v>1200</v>
      </c>
      <c r="O358" s="72">
        <f t="shared" si="346"/>
        <v>800</v>
      </c>
      <c r="P358" s="344"/>
      <c r="Q358" s="345">
        <f t="shared" si="347"/>
        <v>20000</v>
      </c>
      <c r="R358" s="345">
        <f t="shared" si="348"/>
        <v>20000</v>
      </c>
      <c r="S358" s="337">
        <v>0</v>
      </c>
      <c r="T358" s="337">
        <v>0</v>
      </c>
      <c r="U358" s="263"/>
      <c r="V358" s="338">
        <f t="shared" si="349"/>
        <v>20000</v>
      </c>
      <c r="W358" s="72"/>
      <c r="X358" s="261">
        <f>IFERROR(VLOOKUP(B358,'Lunch bill'!$B$6:$H$30,7,0),0)</f>
        <v>0</v>
      </c>
      <c r="Y358" s="261">
        <f t="shared" si="350"/>
        <v>0</v>
      </c>
      <c r="Z358" s="261">
        <f>IFERROR(VLOOKUP(B358,'55 Bike '!$B$7:$J$139,9,0),0)</f>
        <v>2175</v>
      </c>
      <c r="AA358" s="261"/>
      <c r="AB358" s="73">
        <f t="shared" si="351"/>
        <v>2175</v>
      </c>
      <c r="AC358" s="73">
        <f t="shared" si="352"/>
        <v>17825</v>
      </c>
      <c r="AD358" s="264" t="s">
        <v>23</v>
      </c>
      <c r="AE358" s="256" t="s">
        <v>1333</v>
      </c>
      <c r="AF358" s="838"/>
      <c r="AG358" s="205"/>
      <c r="AH358" s="383"/>
      <c r="AI358" s="543"/>
      <c r="AJ358" s="548"/>
      <c r="AK358" s="548"/>
      <c r="AL358" s="198"/>
      <c r="AM358" s="320"/>
      <c r="AN358" s="61"/>
      <c r="AO358" s="61"/>
      <c r="AP358" s="198"/>
      <c r="AQ358" s="61"/>
    </row>
    <row r="359" spans="1:43" s="47" customFormat="1" ht="30" customHeight="1">
      <c r="A359" s="253">
        <v>27</v>
      </c>
      <c r="B359" s="254" t="s">
        <v>1373</v>
      </c>
      <c r="C359" s="255" t="s">
        <v>1374</v>
      </c>
      <c r="D359" s="278" t="s">
        <v>928</v>
      </c>
      <c r="E359" s="278" t="s">
        <v>1185</v>
      </c>
      <c r="F359" s="523">
        <v>45468</v>
      </c>
      <c r="G359" s="257">
        <f>VLOOKUP(B359,Attendance!$B$6:$G$386,6,0)</f>
        <v>31</v>
      </c>
      <c r="H359" s="258">
        <f>VLOOKUP(B$8:B$380,Attendance!$B$6:$L$386,11,0)</f>
        <v>0</v>
      </c>
      <c r="I359" s="257">
        <f t="shared" si="341"/>
        <v>31</v>
      </c>
      <c r="J359" s="258">
        <f t="shared" si="342"/>
        <v>806.45161290322585</v>
      </c>
      <c r="K359" s="72">
        <v>25000</v>
      </c>
      <c r="L359" s="72">
        <f t="shared" si="343"/>
        <v>15000</v>
      </c>
      <c r="M359" s="72">
        <f t="shared" si="344"/>
        <v>7500</v>
      </c>
      <c r="N359" s="72">
        <f t="shared" si="345"/>
        <v>1500</v>
      </c>
      <c r="O359" s="72">
        <f t="shared" si="346"/>
        <v>1000</v>
      </c>
      <c r="P359" s="344"/>
      <c r="Q359" s="345">
        <f t="shared" si="347"/>
        <v>25000</v>
      </c>
      <c r="R359" s="345">
        <f t="shared" si="348"/>
        <v>25000</v>
      </c>
      <c r="S359" s="337">
        <v>0</v>
      </c>
      <c r="T359" s="337">
        <v>0</v>
      </c>
      <c r="U359" s="263"/>
      <c r="V359" s="338">
        <f t="shared" si="349"/>
        <v>25000</v>
      </c>
      <c r="W359" s="72"/>
      <c r="X359" s="261">
        <f>IFERROR(VLOOKUP(B359,'Lunch bill'!$B$6:$H$30,7,0),0)</f>
        <v>0</v>
      </c>
      <c r="Y359" s="261">
        <f t="shared" si="350"/>
        <v>0</v>
      </c>
      <c r="Z359" s="261">
        <f>IFERROR(VLOOKUP(B359,'55 Bike '!$B$7:$J$139,9,0),0)</f>
        <v>0</v>
      </c>
      <c r="AA359" s="261"/>
      <c r="AB359" s="73">
        <f t="shared" si="351"/>
        <v>0</v>
      </c>
      <c r="AC359" s="73">
        <f t="shared" si="352"/>
        <v>25000</v>
      </c>
      <c r="AD359" s="264" t="s">
        <v>23</v>
      </c>
      <c r="AE359" s="256" t="s">
        <v>1636</v>
      </c>
      <c r="AF359" s="838"/>
      <c r="AG359" s="205"/>
      <c r="AH359" s="383"/>
      <c r="AI359" s="543"/>
      <c r="AJ359" s="548"/>
      <c r="AK359" s="548"/>
      <c r="AL359" s="198"/>
      <c r="AM359" s="320"/>
      <c r="AN359" s="61"/>
      <c r="AO359" s="61"/>
      <c r="AP359" s="198"/>
      <c r="AQ359" s="61"/>
    </row>
    <row r="360" spans="1:43" s="47" customFormat="1" ht="30" customHeight="1">
      <c r="A360" s="253">
        <v>28</v>
      </c>
      <c r="B360" s="254" t="s">
        <v>1431</v>
      </c>
      <c r="C360" s="255" t="s">
        <v>1187</v>
      </c>
      <c r="D360" s="278" t="s">
        <v>489</v>
      </c>
      <c r="E360" s="278" t="s">
        <v>1111</v>
      </c>
      <c r="F360" s="523">
        <v>45475</v>
      </c>
      <c r="G360" s="257">
        <f>VLOOKUP(B360,Attendance!$B$6:$G$386,6,0)</f>
        <v>31</v>
      </c>
      <c r="H360" s="258">
        <f>VLOOKUP(B$8:B$380,Attendance!$B$6:$L$386,11,0)</f>
        <v>0</v>
      </c>
      <c r="I360" s="257">
        <f t="shared" si="341"/>
        <v>31</v>
      </c>
      <c r="J360" s="258">
        <f t="shared" si="342"/>
        <v>1419.3548387096773</v>
      </c>
      <c r="K360" s="72">
        <v>44000</v>
      </c>
      <c r="L360" s="72">
        <f t="shared" si="343"/>
        <v>26400</v>
      </c>
      <c r="M360" s="72">
        <f t="shared" si="344"/>
        <v>13200</v>
      </c>
      <c r="N360" s="72">
        <f t="shared" si="345"/>
        <v>2640</v>
      </c>
      <c r="O360" s="72">
        <f t="shared" si="346"/>
        <v>1760</v>
      </c>
      <c r="P360" s="344"/>
      <c r="Q360" s="345">
        <f t="shared" si="347"/>
        <v>44000</v>
      </c>
      <c r="R360" s="345">
        <f t="shared" si="348"/>
        <v>44000</v>
      </c>
      <c r="S360" s="337">
        <v>0</v>
      </c>
      <c r="T360" s="337">
        <v>0</v>
      </c>
      <c r="U360" s="263"/>
      <c r="V360" s="338">
        <f t="shared" si="349"/>
        <v>44000</v>
      </c>
      <c r="W360" s="72">
        <v>417</v>
      </c>
      <c r="X360" s="261">
        <f>IFERROR(VLOOKUP(B360,'Lunch bill'!$B$6:$H$30,7,0),0)</f>
        <v>0</v>
      </c>
      <c r="Y360" s="261">
        <f t="shared" si="350"/>
        <v>0</v>
      </c>
      <c r="Z360" s="261">
        <f>IFERROR(VLOOKUP(B360,'55 Bike '!$B$7:$J$139,9,0),0)</f>
        <v>0</v>
      </c>
      <c r="AA360" s="261"/>
      <c r="AB360" s="73">
        <f t="shared" si="351"/>
        <v>417</v>
      </c>
      <c r="AC360" s="73">
        <f t="shared" si="352"/>
        <v>43583</v>
      </c>
      <c r="AD360" s="264" t="s">
        <v>23</v>
      </c>
      <c r="AE360" s="256" t="s">
        <v>1467</v>
      </c>
      <c r="AF360" s="838"/>
      <c r="AG360" s="205"/>
      <c r="AH360" s="383"/>
      <c r="AI360" s="543"/>
      <c r="AJ360" s="548"/>
      <c r="AK360" s="548"/>
      <c r="AL360" s="198"/>
      <c r="AM360" s="320"/>
      <c r="AN360" s="61"/>
      <c r="AO360" s="61"/>
      <c r="AP360" s="198"/>
      <c r="AQ360" s="61"/>
    </row>
    <row r="361" spans="1:43" s="47" customFormat="1" ht="30" customHeight="1">
      <c r="A361" s="253">
        <v>29</v>
      </c>
      <c r="B361" s="254" t="s">
        <v>1432</v>
      </c>
      <c r="C361" s="255" t="s">
        <v>1433</v>
      </c>
      <c r="D361" s="278" t="s">
        <v>928</v>
      </c>
      <c r="E361" s="278" t="s">
        <v>1111</v>
      </c>
      <c r="F361" s="523">
        <v>45475</v>
      </c>
      <c r="G361" s="257">
        <f>VLOOKUP(B361,Attendance!$B$6:$G$386,6,0)</f>
        <v>31</v>
      </c>
      <c r="H361" s="258">
        <f>VLOOKUP(B$8:B$380,Attendance!$B$6:$L$386,11,0)</f>
        <v>0</v>
      </c>
      <c r="I361" s="257">
        <f t="shared" si="341"/>
        <v>31</v>
      </c>
      <c r="J361" s="258">
        <f t="shared" si="342"/>
        <v>741.93548387096769</v>
      </c>
      <c r="K361" s="72">
        <v>23000</v>
      </c>
      <c r="L361" s="72">
        <f t="shared" si="343"/>
        <v>13800</v>
      </c>
      <c r="M361" s="72">
        <f t="shared" si="344"/>
        <v>6900</v>
      </c>
      <c r="N361" s="72">
        <f t="shared" si="345"/>
        <v>1380</v>
      </c>
      <c r="O361" s="72">
        <f t="shared" si="346"/>
        <v>920</v>
      </c>
      <c r="P361" s="344"/>
      <c r="Q361" s="345">
        <f t="shared" si="347"/>
        <v>23000</v>
      </c>
      <c r="R361" s="345">
        <f t="shared" si="348"/>
        <v>23000</v>
      </c>
      <c r="S361" s="337">
        <v>0</v>
      </c>
      <c r="T361" s="337">
        <v>0</v>
      </c>
      <c r="U361" s="263"/>
      <c r="V361" s="338">
        <f t="shared" si="349"/>
        <v>23000</v>
      </c>
      <c r="W361" s="72"/>
      <c r="X361" s="261">
        <f>IFERROR(VLOOKUP(B361,'Lunch bill'!$B$6:$H$30,7,0),0)</f>
        <v>0</v>
      </c>
      <c r="Y361" s="261">
        <f t="shared" si="350"/>
        <v>0</v>
      </c>
      <c r="Z361" s="261">
        <f>IFERROR(VLOOKUP(B361,'55 Bike '!$B$7:$J$139,9,0),0)</f>
        <v>0</v>
      </c>
      <c r="AA361" s="261"/>
      <c r="AB361" s="73">
        <f t="shared" si="351"/>
        <v>0</v>
      </c>
      <c r="AC361" s="73">
        <f t="shared" si="352"/>
        <v>23000</v>
      </c>
      <c r="AD361" s="264" t="s">
        <v>23</v>
      </c>
      <c r="AE361" s="256" t="s">
        <v>1616</v>
      </c>
      <c r="AF361" s="838"/>
      <c r="AG361" s="205"/>
      <c r="AH361" s="383"/>
      <c r="AI361" s="543"/>
      <c r="AJ361" s="548"/>
      <c r="AK361" s="548"/>
      <c r="AL361" s="198"/>
      <c r="AM361" s="320"/>
      <c r="AN361" s="61"/>
      <c r="AO361" s="61"/>
      <c r="AP361" s="198"/>
      <c r="AQ361" s="61"/>
    </row>
    <row r="362" spans="1:43" s="47" customFormat="1" ht="30" customHeight="1">
      <c r="A362" s="253">
        <v>30</v>
      </c>
      <c r="B362" s="254" t="s">
        <v>1434</v>
      </c>
      <c r="C362" s="255" t="s">
        <v>1435</v>
      </c>
      <c r="D362" s="278" t="s">
        <v>928</v>
      </c>
      <c r="E362" s="278" t="s">
        <v>1111</v>
      </c>
      <c r="F362" s="523">
        <v>45475</v>
      </c>
      <c r="G362" s="257">
        <f>VLOOKUP(B362,Attendance!$B$6:$G$386,6,0)</f>
        <v>31</v>
      </c>
      <c r="H362" s="258">
        <f>VLOOKUP(B$8:B$380,Attendance!$B$6:$L$386,11,0)</f>
        <v>0</v>
      </c>
      <c r="I362" s="257">
        <f t="shared" si="341"/>
        <v>31</v>
      </c>
      <c r="J362" s="258">
        <f t="shared" si="342"/>
        <v>838.70967741935488</v>
      </c>
      <c r="K362" s="72">
        <v>26000</v>
      </c>
      <c r="L362" s="72">
        <f t="shared" si="343"/>
        <v>15600</v>
      </c>
      <c r="M362" s="72">
        <f t="shared" si="344"/>
        <v>7800</v>
      </c>
      <c r="N362" s="72">
        <f t="shared" si="345"/>
        <v>1560</v>
      </c>
      <c r="O362" s="72">
        <f t="shared" si="346"/>
        <v>1040</v>
      </c>
      <c r="P362" s="344"/>
      <c r="Q362" s="345">
        <f t="shared" si="347"/>
        <v>26000</v>
      </c>
      <c r="R362" s="345">
        <f t="shared" si="348"/>
        <v>26000</v>
      </c>
      <c r="S362" s="337">
        <v>0</v>
      </c>
      <c r="T362" s="337">
        <v>0</v>
      </c>
      <c r="U362" s="263"/>
      <c r="V362" s="338">
        <f t="shared" si="349"/>
        <v>26000</v>
      </c>
      <c r="W362" s="72"/>
      <c r="X362" s="261">
        <f>IFERROR(VLOOKUP(B362,'Lunch bill'!$B$6:$H$30,7,0),0)</f>
        <v>0</v>
      </c>
      <c r="Y362" s="261">
        <f t="shared" si="350"/>
        <v>0</v>
      </c>
      <c r="Z362" s="261">
        <f>IFERROR(VLOOKUP(B362,'55 Bike '!$B$7:$J$139,9,0),0)</f>
        <v>0</v>
      </c>
      <c r="AA362" s="261"/>
      <c r="AB362" s="73">
        <f t="shared" si="351"/>
        <v>0</v>
      </c>
      <c r="AC362" s="73">
        <f t="shared" si="352"/>
        <v>26000</v>
      </c>
      <c r="AD362" s="264" t="s">
        <v>23</v>
      </c>
      <c r="AE362" s="256" t="s">
        <v>1466</v>
      </c>
      <c r="AF362" s="838"/>
      <c r="AG362" s="205"/>
      <c r="AH362" s="383"/>
      <c r="AI362" s="543"/>
      <c r="AJ362" s="548"/>
      <c r="AK362" s="548"/>
      <c r="AL362" s="198"/>
      <c r="AM362" s="320"/>
      <c r="AN362" s="61"/>
      <c r="AO362" s="61"/>
      <c r="AP362" s="198"/>
      <c r="AQ362" s="61"/>
    </row>
    <row r="363" spans="1:43" s="47" customFormat="1" ht="30" customHeight="1">
      <c r="A363" s="253">
        <v>31</v>
      </c>
      <c r="B363" s="254" t="s">
        <v>1436</v>
      </c>
      <c r="C363" s="255" t="s">
        <v>1437</v>
      </c>
      <c r="D363" s="278" t="s">
        <v>928</v>
      </c>
      <c r="E363" s="278" t="s">
        <v>1111</v>
      </c>
      <c r="F363" s="523">
        <v>45475</v>
      </c>
      <c r="G363" s="257">
        <f>VLOOKUP(B363,Attendance!$B$6:$G$386,6,0)</f>
        <v>31</v>
      </c>
      <c r="H363" s="258">
        <f>VLOOKUP(B$8:B$380,Attendance!$B$6:$L$386,11,0)</f>
        <v>0</v>
      </c>
      <c r="I363" s="257">
        <f t="shared" si="341"/>
        <v>31</v>
      </c>
      <c r="J363" s="258">
        <f t="shared" si="342"/>
        <v>774.19354838709683</v>
      </c>
      <c r="K363" s="72">
        <v>24000</v>
      </c>
      <c r="L363" s="72">
        <f t="shared" si="343"/>
        <v>14400</v>
      </c>
      <c r="M363" s="72">
        <f t="shared" si="344"/>
        <v>7200</v>
      </c>
      <c r="N363" s="72">
        <f t="shared" si="345"/>
        <v>1440</v>
      </c>
      <c r="O363" s="72">
        <f t="shared" si="346"/>
        <v>960</v>
      </c>
      <c r="P363" s="344"/>
      <c r="Q363" s="345">
        <f t="shared" si="347"/>
        <v>24000</v>
      </c>
      <c r="R363" s="345">
        <f t="shared" si="348"/>
        <v>24000</v>
      </c>
      <c r="S363" s="337">
        <v>0</v>
      </c>
      <c r="T363" s="337">
        <v>0</v>
      </c>
      <c r="U363" s="263"/>
      <c r="V363" s="338">
        <f t="shared" si="349"/>
        <v>24000</v>
      </c>
      <c r="W363" s="72"/>
      <c r="X363" s="261">
        <f>IFERROR(VLOOKUP(B363,'Lunch bill'!$B$6:$H$30,7,0),0)</f>
        <v>0</v>
      </c>
      <c r="Y363" s="261">
        <f t="shared" si="350"/>
        <v>0</v>
      </c>
      <c r="Z363" s="261">
        <f>IFERROR(VLOOKUP(B363,'55 Bike '!$B$7:$J$139,9,0),0)</f>
        <v>0</v>
      </c>
      <c r="AA363" s="261"/>
      <c r="AB363" s="73">
        <f t="shared" si="351"/>
        <v>0</v>
      </c>
      <c r="AC363" s="73">
        <f t="shared" si="352"/>
        <v>24000</v>
      </c>
      <c r="AD363" s="264" t="s">
        <v>23</v>
      </c>
      <c r="AE363" s="256" t="s">
        <v>1468</v>
      </c>
      <c r="AF363" s="838"/>
      <c r="AG363" s="205"/>
      <c r="AH363" s="383"/>
      <c r="AI363" s="543"/>
      <c r="AJ363" s="548"/>
      <c r="AK363" s="548"/>
      <c r="AL363" s="198"/>
      <c r="AM363" s="320"/>
      <c r="AN363" s="61"/>
      <c r="AO363" s="61"/>
      <c r="AP363" s="198"/>
      <c r="AQ363" s="61"/>
    </row>
    <row r="364" spans="1:43" s="47" customFormat="1" ht="30" customHeight="1">
      <c r="A364" s="253">
        <v>32</v>
      </c>
      <c r="B364" s="254" t="s">
        <v>1438</v>
      </c>
      <c r="C364" s="255" t="s">
        <v>1439</v>
      </c>
      <c r="D364" s="278" t="s">
        <v>928</v>
      </c>
      <c r="E364" s="278" t="s">
        <v>1111</v>
      </c>
      <c r="F364" s="523">
        <v>45475</v>
      </c>
      <c r="G364" s="257">
        <f>VLOOKUP(B364,Attendance!$B$6:$G$386,6,0)</f>
        <v>31</v>
      </c>
      <c r="H364" s="258">
        <f>VLOOKUP(B$8:B$380,Attendance!$B$6:$L$386,11,0)</f>
        <v>0</v>
      </c>
      <c r="I364" s="257">
        <f t="shared" si="341"/>
        <v>31</v>
      </c>
      <c r="J364" s="258">
        <f t="shared" si="342"/>
        <v>774.19354838709683</v>
      </c>
      <c r="K364" s="72">
        <v>24000</v>
      </c>
      <c r="L364" s="72">
        <f t="shared" si="343"/>
        <v>14400</v>
      </c>
      <c r="M364" s="72">
        <f t="shared" si="344"/>
        <v>7200</v>
      </c>
      <c r="N364" s="72">
        <f t="shared" si="345"/>
        <v>1440</v>
      </c>
      <c r="O364" s="72">
        <f t="shared" si="346"/>
        <v>960</v>
      </c>
      <c r="P364" s="344"/>
      <c r="Q364" s="345">
        <f t="shared" si="347"/>
        <v>24000</v>
      </c>
      <c r="R364" s="345">
        <f t="shared" si="348"/>
        <v>24000</v>
      </c>
      <c r="S364" s="337">
        <v>0</v>
      </c>
      <c r="T364" s="337">
        <v>0</v>
      </c>
      <c r="U364" s="263"/>
      <c r="V364" s="338">
        <f t="shared" si="349"/>
        <v>24000</v>
      </c>
      <c r="W364" s="72"/>
      <c r="X364" s="261">
        <f>IFERROR(VLOOKUP(B364,'Lunch bill'!$B$6:$H$30,7,0),0)</f>
        <v>0</v>
      </c>
      <c r="Y364" s="261">
        <f t="shared" si="350"/>
        <v>0</v>
      </c>
      <c r="Z364" s="261">
        <f>IFERROR(VLOOKUP(B364,'55 Bike '!$B$7:$J$139,9,0),0)</f>
        <v>2175</v>
      </c>
      <c r="AA364" s="261"/>
      <c r="AB364" s="73">
        <f t="shared" si="351"/>
        <v>2175</v>
      </c>
      <c r="AC364" s="73">
        <f t="shared" si="352"/>
        <v>21825</v>
      </c>
      <c r="AD364" s="264" t="s">
        <v>23</v>
      </c>
      <c r="AE364" s="256" t="s">
        <v>1639</v>
      </c>
      <c r="AF364" s="838"/>
      <c r="AG364" s="205"/>
      <c r="AH364" s="383"/>
      <c r="AI364" s="543"/>
      <c r="AJ364" s="548"/>
      <c r="AK364" s="548"/>
      <c r="AL364" s="198"/>
      <c r="AM364" s="320"/>
      <c r="AN364" s="61"/>
      <c r="AO364" s="61"/>
      <c r="AP364" s="198"/>
      <c r="AQ364" s="61"/>
    </row>
    <row r="365" spans="1:43" s="47" customFormat="1" ht="30" customHeight="1">
      <c r="A365" s="253">
        <v>33</v>
      </c>
      <c r="B365" s="254" t="s">
        <v>1440</v>
      </c>
      <c r="C365" s="255" t="s">
        <v>1441</v>
      </c>
      <c r="D365" s="278" t="s">
        <v>542</v>
      </c>
      <c r="E365" s="278" t="s">
        <v>1111</v>
      </c>
      <c r="F365" s="523">
        <v>45475</v>
      </c>
      <c r="G365" s="257">
        <f>VLOOKUP(B365,Attendance!$B$6:$G$386,6,0)</f>
        <v>31</v>
      </c>
      <c r="H365" s="258">
        <f>VLOOKUP(B$8:B$380,Attendance!$B$6:$L$386,11,0)</f>
        <v>0</v>
      </c>
      <c r="I365" s="257">
        <f t="shared" si="341"/>
        <v>31</v>
      </c>
      <c r="J365" s="258">
        <f t="shared" si="342"/>
        <v>645.16129032258061</v>
      </c>
      <c r="K365" s="72">
        <v>20000</v>
      </c>
      <c r="L365" s="72">
        <f t="shared" si="343"/>
        <v>12000</v>
      </c>
      <c r="M365" s="72">
        <f t="shared" si="344"/>
        <v>6000</v>
      </c>
      <c r="N365" s="72">
        <f t="shared" si="345"/>
        <v>1200</v>
      </c>
      <c r="O365" s="72">
        <f t="shared" si="346"/>
        <v>800</v>
      </c>
      <c r="P365" s="344"/>
      <c r="Q365" s="345">
        <f t="shared" si="347"/>
        <v>20000</v>
      </c>
      <c r="R365" s="345">
        <f t="shared" si="348"/>
        <v>20000</v>
      </c>
      <c r="S365" s="337">
        <v>0</v>
      </c>
      <c r="T365" s="337">
        <v>0</v>
      </c>
      <c r="U365" s="263"/>
      <c r="V365" s="338">
        <f t="shared" si="349"/>
        <v>20000</v>
      </c>
      <c r="W365" s="72"/>
      <c r="X365" s="261">
        <f>IFERROR(VLOOKUP(B365,'Lunch bill'!$B$6:$H$30,7,0),0)</f>
        <v>0</v>
      </c>
      <c r="Y365" s="261">
        <f t="shared" si="350"/>
        <v>0</v>
      </c>
      <c r="Z365" s="261">
        <f>IFERROR(VLOOKUP(B365,'55 Bike '!$B$7:$J$139,9,0),0)</f>
        <v>0</v>
      </c>
      <c r="AA365" s="261"/>
      <c r="AB365" s="73">
        <f t="shared" si="351"/>
        <v>0</v>
      </c>
      <c r="AC365" s="73">
        <f t="shared" si="352"/>
        <v>20000</v>
      </c>
      <c r="AD365" s="264" t="s">
        <v>23</v>
      </c>
      <c r="AE365" s="256" t="s">
        <v>1469</v>
      </c>
      <c r="AF365" s="838"/>
      <c r="AG365" s="205"/>
      <c r="AH365" s="383"/>
      <c r="AI365" s="543"/>
      <c r="AJ365" s="548"/>
      <c r="AK365" s="548"/>
      <c r="AL365" s="198"/>
      <c r="AM365" s="320"/>
      <c r="AN365" s="61"/>
      <c r="AO365" s="61"/>
      <c r="AP365" s="198"/>
      <c r="AQ365" s="61"/>
    </row>
    <row r="366" spans="1:43" s="47" customFormat="1" ht="30" customHeight="1">
      <c r="A366" s="253">
        <v>34</v>
      </c>
      <c r="B366" s="254" t="s">
        <v>1442</v>
      </c>
      <c r="C366" s="255" t="s">
        <v>1443</v>
      </c>
      <c r="D366" s="278" t="s">
        <v>542</v>
      </c>
      <c r="E366" s="278" t="s">
        <v>1111</v>
      </c>
      <c r="F366" s="523">
        <v>45475</v>
      </c>
      <c r="G366" s="257">
        <f>VLOOKUP(B366,Attendance!$B$6:$G$386,6,0)</f>
        <v>31</v>
      </c>
      <c r="H366" s="258">
        <f>VLOOKUP(B$8:B$380,Attendance!$B$6:$L$386,11,0)</f>
        <v>0</v>
      </c>
      <c r="I366" s="257">
        <f t="shared" si="341"/>
        <v>31</v>
      </c>
      <c r="J366" s="258">
        <f t="shared" si="342"/>
        <v>580.64516129032256</v>
      </c>
      <c r="K366" s="72">
        <v>18000</v>
      </c>
      <c r="L366" s="72">
        <f t="shared" si="343"/>
        <v>10800</v>
      </c>
      <c r="M366" s="72">
        <f t="shared" si="344"/>
        <v>5400</v>
      </c>
      <c r="N366" s="72">
        <f t="shared" si="345"/>
        <v>1080</v>
      </c>
      <c r="O366" s="72">
        <f t="shared" si="346"/>
        <v>720</v>
      </c>
      <c r="P366" s="344"/>
      <c r="Q366" s="345">
        <f t="shared" si="347"/>
        <v>18000</v>
      </c>
      <c r="R366" s="345">
        <f t="shared" si="348"/>
        <v>18000</v>
      </c>
      <c r="S366" s="337">
        <v>0</v>
      </c>
      <c r="T366" s="337">
        <v>0</v>
      </c>
      <c r="U366" s="263"/>
      <c r="V366" s="338">
        <f t="shared" si="349"/>
        <v>18000</v>
      </c>
      <c r="W366" s="72"/>
      <c r="X366" s="261">
        <f>IFERROR(VLOOKUP(B366,'Lunch bill'!$B$6:$H$30,7,0),0)</f>
        <v>0</v>
      </c>
      <c r="Y366" s="261">
        <f t="shared" si="350"/>
        <v>0</v>
      </c>
      <c r="Z366" s="261">
        <f>IFERROR(VLOOKUP(B366,'55 Bike '!$B$7:$J$139,9,0),0)</f>
        <v>0</v>
      </c>
      <c r="AA366" s="261"/>
      <c r="AB366" s="73">
        <f t="shared" si="351"/>
        <v>0</v>
      </c>
      <c r="AC366" s="73">
        <f t="shared" si="352"/>
        <v>18000</v>
      </c>
      <c r="AD366" s="264" t="s">
        <v>23</v>
      </c>
      <c r="AE366" s="256" t="s">
        <v>1635</v>
      </c>
      <c r="AF366" s="838"/>
      <c r="AG366" s="205"/>
      <c r="AH366" s="383"/>
      <c r="AI366" s="543"/>
      <c r="AJ366" s="548"/>
      <c r="AK366" s="548"/>
      <c r="AL366" s="198"/>
      <c r="AM366" s="320"/>
      <c r="AN366" s="61"/>
      <c r="AO366" s="61"/>
      <c r="AP366" s="198"/>
      <c r="AQ366" s="61"/>
    </row>
    <row r="367" spans="1:43" s="47" customFormat="1" ht="30" customHeight="1">
      <c r="A367" s="253">
        <v>35</v>
      </c>
      <c r="B367" s="254" t="s">
        <v>1451</v>
      </c>
      <c r="C367" s="255" t="s">
        <v>1452</v>
      </c>
      <c r="D367" s="278" t="s">
        <v>1453</v>
      </c>
      <c r="E367" s="278" t="s">
        <v>1111</v>
      </c>
      <c r="F367" s="523">
        <v>45444</v>
      </c>
      <c r="G367" s="257">
        <f>VLOOKUP(B367,Attendance!$B$6:$G$386,6,0)</f>
        <v>31</v>
      </c>
      <c r="H367" s="258">
        <f>VLOOKUP(B$8:B$380,Attendance!$B$6:$L$386,11,0)</f>
        <v>0</v>
      </c>
      <c r="I367" s="257">
        <f t="shared" si="341"/>
        <v>31</v>
      </c>
      <c r="J367" s="258">
        <f t="shared" si="342"/>
        <v>790.32258064516134</v>
      </c>
      <c r="K367" s="72">
        <v>24500</v>
      </c>
      <c r="L367" s="72">
        <f t="shared" si="343"/>
        <v>14700</v>
      </c>
      <c r="M367" s="72">
        <f t="shared" si="344"/>
        <v>7350</v>
      </c>
      <c r="N367" s="72">
        <f t="shared" si="345"/>
        <v>1470</v>
      </c>
      <c r="O367" s="72">
        <f t="shared" si="346"/>
        <v>980</v>
      </c>
      <c r="P367" s="344"/>
      <c r="Q367" s="345">
        <f t="shared" si="347"/>
        <v>24500</v>
      </c>
      <c r="R367" s="345">
        <f t="shared" si="348"/>
        <v>24500</v>
      </c>
      <c r="S367" s="337">
        <v>0</v>
      </c>
      <c r="T367" s="337">
        <v>0</v>
      </c>
      <c r="U367" s="263"/>
      <c r="V367" s="338">
        <f t="shared" si="349"/>
        <v>24500</v>
      </c>
      <c r="W367" s="72"/>
      <c r="X367" s="261">
        <f>IFERROR(VLOOKUP(B367,'Lunch bill'!$B$6:$H$30,7,0),0)</f>
        <v>0</v>
      </c>
      <c r="Y367" s="261">
        <f t="shared" si="350"/>
        <v>0</v>
      </c>
      <c r="Z367" s="261">
        <f>IFERROR(VLOOKUP(B367,'55 Bike '!$B$7:$J$139,9,0),0)</f>
        <v>0</v>
      </c>
      <c r="AA367" s="261"/>
      <c r="AB367" s="73">
        <f t="shared" si="351"/>
        <v>0</v>
      </c>
      <c r="AC367" s="73">
        <f t="shared" si="352"/>
        <v>24500</v>
      </c>
      <c r="AD367" s="264" t="s">
        <v>23</v>
      </c>
      <c r="AE367" s="256" t="s">
        <v>1638</v>
      </c>
      <c r="AF367" s="838"/>
      <c r="AG367" s="205"/>
      <c r="AH367" s="383"/>
      <c r="AI367" s="543"/>
      <c r="AJ367" s="548"/>
      <c r="AK367" s="548"/>
      <c r="AL367" s="198"/>
      <c r="AM367" s="320"/>
      <c r="AN367" s="61"/>
      <c r="AO367" s="61"/>
      <c r="AP367" s="198"/>
      <c r="AQ367" s="61"/>
    </row>
    <row r="368" spans="1:43" s="47" customFormat="1" ht="30" customHeight="1">
      <c r="A368" s="253">
        <v>36</v>
      </c>
      <c r="B368" s="254" t="s">
        <v>1454</v>
      </c>
      <c r="C368" s="255" t="s">
        <v>1455</v>
      </c>
      <c r="D368" s="278" t="s">
        <v>542</v>
      </c>
      <c r="E368" s="278" t="s">
        <v>1111</v>
      </c>
      <c r="F368" s="523">
        <v>45483</v>
      </c>
      <c r="G368" s="257">
        <f>VLOOKUP(B368,Attendance!$B$6:$G$386,6,0)</f>
        <v>31</v>
      </c>
      <c r="H368" s="258">
        <f>VLOOKUP(B$8:B$380,Attendance!$B$6:$L$386,11,0)</f>
        <v>0</v>
      </c>
      <c r="I368" s="257">
        <f t="shared" si="341"/>
        <v>31</v>
      </c>
      <c r="J368" s="258">
        <f t="shared" si="342"/>
        <v>645.16129032258061</v>
      </c>
      <c r="K368" s="72">
        <v>20000</v>
      </c>
      <c r="L368" s="72">
        <f t="shared" si="343"/>
        <v>12000</v>
      </c>
      <c r="M368" s="72">
        <f t="shared" si="344"/>
        <v>6000</v>
      </c>
      <c r="N368" s="72">
        <f t="shared" si="345"/>
        <v>1200</v>
      </c>
      <c r="O368" s="72">
        <f t="shared" si="346"/>
        <v>800</v>
      </c>
      <c r="P368" s="344"/>
      <c r="Q368" s="345">
        <f t="shared" si="347"/>
        <v>20000</v>
      </c>
      <c r="R368" s="345">
        <f t="shared" si="348"/>
        <v>20000</v>
      </c>
      <c r="S368" s="337">
        <v>0</v>
      </c>
      <c r="T368" s="337">
        <v>0</v>
      </c>
      <c r="U368" s="263"/>
      <c r="V368" s="338">
        <f t="shared" si="349"/>
        <v>20000</v>
      </c>
      <c r="W368" s="72"/>
      <c r="X368" s="261">
        <f>IFERROR(VLOOKUP(B368,'Lunch bill'!$B$6:$H$30,7,0),0)</f>
        <v>0</v>
      </c>
      <c r="Y368" s="261">
        <f t="shared" si="350"/>
        <v>0</v>
      </c>
      <c r="Z368" s="261">
        <f>IFERROR(VLOOKUP(B368,'55 Bike '!$B$7:$J$139,9,0),0)</f>
        <v>0</v>
      </c>
      <c r="AA368" s="261"/>
      <c r="AB368" s="73">
        <f t="shared" si="351"/>
        <v>0</v>
      </c>
      <c r="AC368" s="73">
        <f t="shared" si="352"/>
        <v>20000</v>
      </c>
      <c r="AD368" s="264" t="s">
        <v>23</v>
      </c>
      <c r="AE368" s="256" t="s">
        <v>1470</v>
      </c>
      <c r="AF368" s="838"/>
      <c r="AG368" s="205"/>
      <c r="AH368" s="383"/>
      <c r="AI368" s="543"/>
      <c r="AJ368" s="548"/>
      <c r="AK368" s="548"/>
      <c r="AL368" s="198"/>
      <c r="AM368" s="320"/>
      <c r="AN368" s="61"/>
      <c r="AO368" s="61"/>
      <c r="AP368" s="198"/>
      <c r="AQ368" s="61"/>
    </row>
    <row r="369" spans="1:43" s="47" customFormat="1" ht="30" customHeight="1">
      <c r="A369" s="253">
        <v>37</v>
      </c>
      <c r="B369" s="254" t="s">
        <v>1606</v>
      </c>
      <c r="C369" s="255" t="s">
        <v>1607</v>
      </c>
      <c r="D369" s="278" t="s">
        <v>928</v>
      </c>
      <c r="E369" s="278" t="s">
        <v>1111</v>
      </c>
      <c r="F369" s="523">
        <v>45505</v>
      </c>
      <c r="G369" s="257">
        <f>VLOOKUP(B369,Attendance!$B$6:$G$386,6,0)</f>
        <v>31</v>
      </c>
      <c r="H369" s="258">
        <f>VLOOKUP(B$8:B$380,Attendance!$B$6:$L$386,11,0)</f>
        <v>0</v>
      </c>
      <c r="I369" s="257">
        <f t="shared" si="341"/>
        <v>31</v>
      </c>
      <c r="J369" s="258">
        <f t="shared" si="342"/>
        <v>870.9677419354839</v>
      </c>
      <c r="K369" s="72">
        <v>27000</v>
      </c>
      <c r="L369" s="72">
        <f t="shared" ref="L369:L371" si="353">K369*60%</f>
        <v>16200</v>
      </c>
      <c r="M369" s="72">
        <f t="shared" ref="M369:M371" si="354">K369*30%</f>
        <v>8100</v>
      </c>
      <c r="N369" s="72">
        <f t="shared" ref="N369:N371" si="355">K369*6%</f>
        <v>1620</v>
      </c>
      <c r="O369" s="72">
        <f t="shared" ref="O369:O371" si="356">K369*4%</f>
        <v>1080</v>
      </c>
      <c r="P369" s="344"/>
      <c r="Q369" s="345">
        <f t="shared" ref="Q369:Q371" si="357">SUM(L369:P369)</f>
        <v>27000</v>
      </c>
      <c r="R369" s="345">
        <f t="shared" si="348"/>
        <v>27000</v>
      </c>
      <c r="S369" s="337">
        <v>0</v>
      </c>
      <c r="T369" s="337">
        <v>0</v>
      </c>
      <c r="U369" s="263"/>
      <c r="V369" s="338">
        <f t="shared" ref="V369:V371" si="358">SUM(R369:U369)</f>
        <v>27000</v>
      </c>
      <c r="W369" s="72"/>
      <c r="X369" s="261">
        <f>IFERROR(VLOOKUP(B369,'Lunch bill'!$B$6:$H$30,7,0),0)</f>
        <v>0</v>
      </c>
      <c r="Y369" s="261">
        <f t="shared" ref="Y369:Y371" si="359">ROUND(IF($AH$4-F369&gt;=360,L369*5%,0),0)</f>
        <v>0</v>
      </c>
      <c r="Z369" s="261">
        <f>IFERROR(VLOOKUP(B369,'55 Bike '!$B$7:$J$139,9,0),0)</f>
        <v>0</v>
      </c>
      <c r="AA369" s="261"/>
      <c r="AB369" s="73">
        <f t="shared" ref="AB369:AB371" si="360">SUM(W369:AA369)</f>
        <v>0</v>
      </c>
      <c r="AC369" s="73">
        <f t="shared" ref="AC369:AC371" si="361">ROUND(V369-AB369,0)</f>
        <v>27000</v>
      </c>
      <c r="AD369" s="264" t="s">
        <v>23</v>
      </c>
      <c r="AE369" s="256" t="s">
        <v>1620</v>
      </c>
      <c r="AF369" s="838"/>
      <c r="AG369" s="205"/>
      <c r="AH369" s="383"/>
      <c r="AI369" s="543"/>
      <c r="AJ369" s="548"/>
      <c r="AK369" s="548"/>
      <c r="AL369" s="198"/>
      <c r="AM369" s="320"/>
      <c r="AN369" s="61"/>
      <c r="AO369" s="61"/>
      <c r="AP369" s="198"/>
      <c r="AQ369" s="61"/>
    </row>
    <row r="370" spans="1:43" s="47" customFormat="1" ht="30" customHeight="1">
      <c r="A370" s="253">
        <v>38</v>
      </c>
      <c r="B370" s="254" t="s">
        <v>1610</v>
      </c>
      <c r="C370" s="255" t="s">
        <v>1611</v>
      </c>
      <c r="D370" s="278" t="s">
        <v>928</v>
      </c>
      <c r="E370" s="278" t="s">
        <v>1111</v>
      </c>
      <c r="F370" s="523">
        <v>45505</v>
      </c>
      <c r="G370" s="257">
        <f>VLOOKUP(B370,Attendance!$B$6:$G$386,6,0)</f>
        <v>31</v>
      </c>
      <c r="H370" s="258">
        <f>VLOOKUP(B$8:B$380,Attendance!$B$6:$L$386,11,0)</f>
        <v>0</v>
      </c>
      <c r="I370" s="257">
        <f t="shared" si="341"/>
        <v>31</v>
      </c>
      <c r="J370" s="258">
        <f t="shared" si="342"/>
        <v>838.70967741935488</v>
      </c>
      <c r="K370" s="72">
        <v>26000</v>
      </c>
      <c r="L370" s="72">
        <f t="shared" si="353"/>
        <v>15600</v>
      </c>
      <c r="M370" s="72">
        <f t="shared" si="354"/>
        <v>7800</v>
      </c>
      <c r="N370" s="72">
        <f t="shared" si="355"/>
        <v>1560</v>
      </c>
      <c r="O370" s="72">
        <f t="shared" si="356"/>
        <v>1040</v>
      </c>
      <c r="P370" s="344"/>
      <c r="Q370" s="345">
        <f t="shared" si="357"/>
        <v>26000</v>
      </c>
      <c r="R370" s="345">
        <f t="shared" si="348"/>
        <v>26000</v>
      </c>
      <c r="S370" s="337">
        <v>0</v>
      </c>
      <c r="T370" s="337">
        <v>0</v>
      </c>
      <c r="U370" s="263"/>
      <c r="V370" s="338">
        <f t="shared" si="358"/>
        <v>26000</v>
      </c>
      <c r="W370" s="72"/>
      <c r="X370" s="261">
        <f>IFERROR(VLOOKUP(B370,'Lunch bill'!$B$6:$H$30,7,0),0)</f>
        <v>0</v>
      </c>
      <c r="Y370" s="261">
        <f t="shared" si="359"/>
        <v>0</v>
      </c>
      <c r="Z370" s="261">
        <f>IFERROR(VLOOKUP(B370,'55 Bike '!$B$7:$J$139,9,0),0)</f>
        <v>0</v>
      </c>
      <c r="AA370" s="261"/>
      <c r="AB370" s="73">
        <f t="shared" si="360"/>
        <v>0</v>
      </c>
      <c r="AC370" s="73">
        <f t="shared" si="361"/>
        <v>26000</v>
      </c>
      <c r="AD370" s="264" t="s">
        <v>23</v>
      </c>
      <c r="AE370" s="256" t="s">
        <v>1640</v>
      </c>
      <c r="AF370" s="838"/>
      <c r="AG370" s="205"/>
      <c r="AH370" s="383"/>
      <c r="AI370" s="543"/>
      <c r="AJ370" s="548"/>
      <c r="AK370" s="548"/>
      <c r="AL370" s="198"/>
      <c r="AM370" s="320"/>
      <c r="AN370" s="61"/>
      <c r="AO370" s="61"/>
      <c r="AP370" s="198"/>
      <c r="AQ370" s="61"/>
    </row>
    <row r="371" spans="1:43" s="47" customFormat="1" ht="30" customHeight="1">
      <c r="A371" s="253">
        <v>39</v>
      </c>
      <c r="B371" s="254" t="s">
        <v>1612</v>
      </c>
      <c r="C371" s="255" t="s">
        <v>1613</v>
      </c>
      <c r="D371" s="278" t="s">
        <v>604</v>
      </c>
      <c r="E371" s="278" t="s">
        <v>1111</v>
      </c>
      <c r="F371" s="523">
        <v>45507</v>
      </c>
      <c r="G371" s="257">
        <f>VLOOKUP(B371,Attendance!$B$6:$G$386,6,0)</f>
        <v>31</v>
      </c>
      <c r="H371" s="258">
        <f>VLOOKUP(B$8:B$380,Attendance!$B$6:$L$386,11,0)</f>
        <v>0</v>
      </c>
      <c r="I371" s="257">
        <f t="shared" si="341"/>
        <v>31</v>
      </c>
      <c r="J371" s="258">
        <f t="shared" si="342"/>
        <v>2096.7741935483873</v>
      </c>
      <c r="K371" s="72">
        <v>65000</v>
      </c>
      <c r="L371" s="72">
        <f t="shared" si="353"/>
        <v>39000</v>
      </c>
      <c r="M371" s="72">
        <f t="shared" si="354"/>
        <v>19500</v>
      </c>
      <c r="N371" s="72">
        <f t="shared" si="355"/>
        <v>3900</v>
      </c>
      <c r="O371" s="72">
        <f t="shared" si="356"/>
        <v>2600</v>
      </c>
      <c r="P371" s="344"/>
      <c r="Q371" s="345">
        <f t="shared" si="357"/>
        <v>65000</v>
      </c>
      <c r="R371" s="345">
        <f t="shared" si="348"/>
        <v>65000</v>
      </c>
      <c r="S371" s="337">
        <v>0</v>
      </c>
      <c r="T371" s="337">
        <v>0</v>
      </c>
      <c r="U371" s="263"/>
      <c r="V371" s="338">
        <f t="shared" si="358"/>
        <v>65000</v>
      </c>
      <c r="W371" s="72">
        <v>455</v>
      </c>
      <c r="X371" s="261">
        <f>IFERROR(VLOOKUP(B371,'Lunch bill'!$B$6:$H$30,7,0),0)</f>
        <v>0</v>
      </c>
      <c r="Y371" s="261">
        <f t="shared" si="359"/>
        <v>0</v>
      </c>
      <c r="Z371" s="261">
        <f>IFERROR(VLOOKUP(B371,'55 Bike '!$B$7:$J$139,9,0),0)</f>
        <v>0</v>
      </c>
      <c r="AA371" s="261"/>
      <c r="AB371" s="73">
        <f t="shared" si="360"/>
        <v>455</v>
      </c>
      <c r="AC371" s="73">
        <f t="shared" si="361"/>
        <v>64545</v>
      </c>
      <c r="AD371" s="264" t="s">
        <v>23</v>
      </c>
      <c r="AE371" s="256" t="s">
        <v>1617</v>
      </c>
      <c r="AF371" s="838"/>
      <c r="AG371" s="205"/>
      <c r="AH371" s="383"/>
      <c r="AI371" s="543"/>
      <c r="AJ371" s="548"/>
      <c r="AK371" s="548"/>
      <c r="AL371" s="198"/>
      <c r="AM371" s="320"/>
      <c r="AN371" s="61"/>
      <c r="AO371" s="61"/>
      <c r="AP371" s="198"/>
      <c r="AQ371" s="61"/>
    </row>
    <row r="372" spans="1:43" s="47" customFormat="1" ht="30" customHeight="1">
      <c r="A372" s="253">
        <v>40</v>
      </c>
      <c r="B372" s="254" t="s">
        <v>1666</v>
      </c>
      <c r="C372" s="255" t="s">
        <v>1667</v>
      </c>
      <c r="D372" s="278" t="s">
        <v>928</v>
      </c>
      <c r="E372" s="278" t="s">
        <v>1111</v>
      </c>
      <c r="F372" s="523">
        <v>45566</v>
      </c>
      <c r="G372" s="257">
        <f>VLOOKUP(B372,Attendance!$B$6:$G$386,6,0)</f>
        <v>31</v>
      </c>
      <c r="H372" s="258">
        <f>VLOOKUP(B$8:B$380,Attendance!$B$6:$L$386,11,0)</f>
        <v>0</v>
      </c>
      <c r="I372" s="257">
        <f t="shared" ref="I372" si="362">G372-H372</f>
        <v>31</v>
      </c>
      <c r="J372" s="258">
        <f t="shared" si="342"/>
        <v>806.45161290322585</v>
      </c>
      <c r="K372" s="72">
        <v>25000</v>
      </c>
      <c r="L372" s="72">
        <f t="shared" ref="L372" si="363">K372*60%</f>
        <v>15000</v>
      </c>
      <c r="M372" s="72">
        <f t="shared" ref="M372" si="364">K372*30%</f>
        <v>7500</v>
      </c>
      <c r="N372" s="72">
        <f t="shared" ref="N372" si="365">K372*6%</f>
        <v>1500</v>
      </c>
      <c r="O372" s="72">
        <f t="shared" ref="O372" si="366">K372*4%</f>
        <v>1000</v>
      </c>
      <c r="P372" s="344"/>
      <c r="Q372" s="345">
        <f t="shared" ref="Q372" si="367">SUM(L372:P372)</f>
        <v>25000</v>
      </c>
      <c r="R372" s="345">
        <f t="shared" ref="R372" si="368">ROUND(I372*J372,)</f>
        <v>25000</v>
      </c>
      <c r="S372" s="337">
        <v>0</v>
      </c>
      <c r="T372" s="337">
        <v>0</v>
      </c>
      <c r="U372" s="263"/>
      <c r="V372" s="338">
        <f t="shared" ref="V372:V374" si="369">SUM(R372:U372)</f>
        <v>25000</v>
      </c>
      <c r="W372" s="72"/>
      <c r="X372" s="261">
        <f>IFERROR(VLOOKUP(B372,'Lunch bill'!$B$6:$H$30,7,0),0)</f>
        <v>0</v>
      </c>
      <c r="Y372" s="261">
        <f t="shared" ref="Y372" si="370">ROUND(IF($AH$4-F372&gt;=360,L372*5%,0),0)</f>
        <v>0</v>
      </c>
      <c r="Z372" s="261">
        <f>IFERROR(VLOOKUP(B372,'55 Bike '!$B$7:$J$139,9,0),0)</f>
        <v>0</v>
      </c>
      <c r="AA372" s="261"/>
      <c r="AB372" s="73">
        <f t="shared" ref="AB372" si="371">SUM(W372:AA372)</f>
        <v>0</v>
      </c>
      <c r="AC372" s="73">
        <f t="shared" ref="AC372" si="372">ROUND(V372-AB372,0)</f>
        <v>25000</v>
      </c>
      <c r="AD372" s="264" t="s">
        <v>23</v>
      </c>
      <c r="AE372" s="256" t="s">
        <v>1690</v>
      </c>
      <c r="AF372" s="838"/>
      <c r="AG372" s="205"/>
      <c r="AH372" s="383"/>
      <c r="AI372" s="543"/>
      <c r="AJ372" s="548"/>
      <c r="AK372" s="548"/>
      <c r="AL372" s="198"/>
      <c r="AM372" s="320"/>
      <c r="AN372" s="61"/>
      <c r="AO372" s="61"/>
      <c r="AP372" s="198"/>
      <c r="AQ372" s="61"/>
    </row>
    <row r="373" spans="1:43" s="47" customFormat="1" ht="30" customHeight="1">
      <c r="A373" s="253">
        <v>41</v>
      </c>
      <c r="B373" s="254" t="s">
        <v>1803</v>
      </c>
      <c r="C373" s="255" t="s">
        <v>1845</v>
      </c>
      <c r="D373" s="278" t="s">
        <v>1804</v>
      </c>
      <c r="E373" s="278" t="s">
        <v>1111</v>
      </c>
      <c r="F373" s="523">
        <v>45566</v>
      </c>
      <c r="G373" s="257">
        <f>VLOOKUP(B373,Attendance!$B$6:$G$386,6,0)</f>
        <v>31</v>
      </c>
      <c r="H373" s="258">
        <f>VLOOKUP(B$8:B$380,Attendance!$B$6:$L$386,11,0)</f>
        <v>0</v>
      </c>
      <c r="I373" s="257">
        <f t="shared" ref="I373:I374" si="373">G373-H373</f>
        <v>31</v>
      </c>
      <c r="J373" s="258">
        <f t="shared" si="342"/>
        <v>903.22580645161293</v>
      </c>
      <c r="K373" s="72">
        <v>28000</v>
      </c>
      <c r="L373" s="72">
        <f t="shared" ref="L373:L374" si="374">K373*60%</f>
        <v>16800</v>
      </c>
      <c r="M373" s="72">
        <f t="shared" ref="M373:M374" si="375">K373*30%</f>
        <v>8400</v>
      </c>
      <c r="N373" s="72">
        <f t="shared" ref="N373:N374" si="376">K373*6%</f>
        <v>1680</v>
      </c>
      <c r="O373" s="72">
        <f t="shared" ref="O373:O374" si="377">K373*4%</f>
        <v>1120</v>
      </c>
      <c r="P373" s="344"/>
      <c r="Q373" s="345">
        <f t="shared" ref="Q373:Q374" si="378">SUM(L373:P373)</f>
        <v>28000</v>
      </c>
      <c r="R373" s="345">
        <f t="shared" ref="R373:R374" si="379">ROUND(I373*J373,)</f>
        <v>28000</v>
      </c>
      <c r="S373" s="337"/>
      <c r="T373" s="337"/>
      <c r="U373" s="263"/>
      <c r="V373" s="338">
        <f t="shared" si="369"/>
        <v>28000</v>
      </c>
      <c r="W373" s="72"/>
      <c r="X373" s="261">
        <f>IFERROR(VLOOKUP(B373,'Lunch bill'!$B$6:$H$30,7,0),0)</f>
        <v>0</v>
      </c>
      <c r="Y373" s="261">
        <f t="shared" ref="Y373:Y374" si="380">ROUND(IF($AH$4-F373&gt;=360,L373*5%,0),0)</f>
        <v>0</v>
      </c>
      <c r="Z373" s="261">
        <f>IFERROR(VLOOKUP(B373,'55 Bike '!$B$7:$J$139,9,0),0)</f>
        <v>0</v>
      </c>
      <c r="AA373" s="261"/>
      <c r="AB373" s="73">
        <f t="shared" ref="AB373:AB374" si="381">SUM(W373:AA373)</f>
        <v>0</v>
      </c>
      <c r="AC373" s="73">
        <f t="shared" ref="AC373:AC374" si="382">ROUND(V373-AB373,0)</f>
        <v>28000</v>
      </c>
      <c r="AD373" s="264" t="s">
        <v>23</v>
      </c>
      <c r="AE373" s="256" t="s">
        <v>1873</v>
      </c>
      <c r="AF373" s="838"/>
      <c r="AG373" s="205"/>
      <c r="AH373" s="383"/>
      <c r="AI373" s="543"/>
      <c r="AJ373" s="548"/>
      <c r="AK373" s="548"/>
      <c r="AL373" s="198"/>
      <c r="AM373" s="320"/>
      <c r="AN373" s="61"/>
      <c r="AO373" s="61"/>
      <c r="AP373" s="198"/>
      <c r="AQ373" s="61"/>
    </row>
    <row r="374" spans="1:43" s="47" customFormat="1" ht="30" customHeight="1">
      <c r="A374" s="253">
        <v>42</v>
      </c>
      <c r="B374" s="254" t="s">
        <v>1810</v>
      </c>
      <c r="C374" s="255" t="s">
        <v>1811</v>
      </c>
      <c r="D374" s="278" t="s">
        <v>542</v>
      </c>
      <c r="E374" s="278" t="s">
        <v>1111</v>
      </c>
      <c r="F374" s="523">
        <v>45614</v>
      </c>
      <c r="G374" s="257">
        <f>VLOOKUP(B374,Attendance!$B$6:$G$386,6,0)</f>
        <v>31</v>
      </c>
      <c r="H374" s="258">
        <f>VLOOKUP(B$8:B$380,Attendance!$B$6:$L$386,11,0)</f>
        <v>0</v>
      </c>
      <c r="I374" s="257">
        <f t="shared" si="373"/>
        <v>31</v>
      </c>
      <c r="J374" s="258">
        <f t="shared" si="342"/>
        <v>903.22580645161293</v>
      </c>
      <c r="K374" s="72">
        <v>28000</v>
      </c>
      <c r="L374" s="72">
        <f t="shared" si="374"/>
        <v>16800</v>
      </c>
      <c r="M374" s="72">
        <f t="shared" si="375"/>
        <v>8400</v>
      </c>
      <c r="N374" s="72">
        <f t="shared" si="376"/>
        <v>1680</v>
      </c>
      <c r="O374" s="72">
        <f t="shared" si="377"/>
        <v>1120</v>
      </c>
      <c r="P374" s="344"/>
      <c r="Q374" s="345">
        <f t="shared" si="378"/>
        <v>28000</v>
      </c>
      <c r="R374" s="345">
        <f t="shared" si="379"/>
        <v>28000</v>
      </c>
      <c r="S374" s="337"/>
      <c r="T374" s="337"/>
      <c r="U374" s="263"/>
      <c r="V374" s="338">
        <f t="shared" si="369"/>
        <v>28000</v>
      </c>
      <c r="W374" s="72"/>
      <c r="X374" s="261">
        <f>IFERROR(VLOOKUP(B374,'Lunch bill'!$B$6:$H$30,7,0),0)</f>
        <v>0</v>
      </c>
      <c r="Y374" s="261">
        <f t="shared" si="380"/>
        <v>0</v>
      </c>
      <c r="Z374" s="261">
        <f>IFERROR(VLOOKUP(B374,'55 Bike '!$B$7:$J$139,9,0),0)</f>
        <v>0</v>
      </c>
      <c r="AA374" s="261"/>
      <c r="AB374" s="73">
        <f t="shared" si="381"/>
        <v>0</v>
      </c>
      <c r="AC374" s="73">
        <f t="shared" si="382"/>
        <v>28000</v>
      </c>
      <c r="AD374" s="264" t="s">
        <v>23</v>
      </c>
      <c r="AE374" s="256" t="s">
        <v>1826</v>
      </c>
      <c r="AF374" s="838"/>
      <c r="AG374" s="205"/>
      <c r="AH374" s="383"/>
      <c r="AI374" s="543"/>
      <c r="AJ374" s="548"/>
      <c r="AK374" s="548"/>
      <c r="AL374" s="198"/>
      <c r="AM374" s="320"/>
      <c r="AN374" s="61"/>
      <c r="AO374" s="61"/>
      <c r="AP374" s="198"/>
      <c r="AQ374" s="61"/>
    </row>
    <row r="375" spans="1:43" s="47" customFormat="1" ht="30" customHeight="1">
      <c r="A375" s="253">
        <v>43</v>
      </c>
      <c r="B375" s="254" t="s">
        <v>1851</v>
      </c>
      <c r="C375" s="255" t="s">
        <v>1852</v>
      </c>
      <c r="D375" s="278" t="s">
        <v>490</v>
      </c>
      <c r="E375" s="278" t="s">
        <v>1111</v>
      </c>
      <c r="F375" s="523">
        <v>45627</v>
      </c>
      <c r="G375" s="257">
        <f>VLOOKUP(B375,Attendance!$B$6:$G$386,6,0)</f>
        <v>31</v>
      </c>
      <c r="H375" s="258">
        <f>VLOOKUP(B$8:B$380,Attendance!$B$6:$L$386,11,0)</f>
        <v>0</v>
      </c>
      <c r="I375" s="257">
        <f t="shared" ref="I375:I376" si="383">G375-H375</f>
        <v>31</v>
      </c>
      <c r="J375" s="258">
        <f t="shared" ref="J375:J376" si="384">Q375/G375</f>
        <v>1129.0322580645161</v>
      </c>
      <c r="K375" s="72">
        <v>35000</v>
      </c>
      <c r="L375" s="72">
        <f t="shared" ref="L375:L376" si="385">K375*60%</f>
        <v>21000</v>
      </c>
      <c r="M375" s="72">
        <f t="shared" ref="M375:M376" si="386">K375*30%</f>
        <v>10500</v>
      </c>
      <c r="N375" s="72">
        <f t="shared" ref="N375:N376" si="387">K375*6%</f>
        <v>2100</v>
      </c>
      <c r="O375" s="72">
        <f t="shared" ref="O375:O376" si="388">K375*4%</f>
        <v>1400</v>
      </c>
      <c r="P375" s="344"/>
      <c r="Q375" s="345">
        <f t="shared" ref="Q375:Q376" si="389">SUM(L375:P375)</f>
        <v>35000</v>
      </c>
      <c r="R375" s="345">
        <f t="shared" ref="R375:R376" si="390">ROUND(I375*J375,)</f>
        <v>35000</v>
      </c>
      <c r="S375" s="337"/>
      <c r="T375" s="337"/>
      <c r="U375" s="263"/>
      <c r="V375" s="338">
        <f t="shared" ref="V375:V376" si="391">SUM(R375:U375)</f>
        <v>35000</v>
      </c>
      <c r="W375" s="72"/>
      <c r="X375" s="261">
        <f>IFERROR(VLOOKUP(B375,'Lunch bill'!$B$6:$H$30,7,0),0)</f>
        <v>0</v>
      </c>
      <c r="Y375" s="261">
        <f t="shared" ref="Y375:Y376" si="392">ROUND(IF($AH$4-F375&gt;=360,L375*5%,0),0)</f>
        <v>0</v>
      </c>
      <c r="Z375" s="261">
        <f>IFERROR(VLOOKUP(B375,'55 Bike '!$B$7:$J$139,9,0),0)</f>
        <v>0</v>
      </c>
      <c r="AA375" s="261"/>
      <c r="AB375" s="73">
        <f t="shared" ref="AB375:AB376" si="393">SUM(W375:AA375)</f>
        <v>0</v>
      </c>
      <c r="AC375" s="73">
        <f t="shared" ref="AC375:AC376" si="394">ROUND(V375-AB375,0)</f>
        <v>35000</v>
      </c>
      <c r="AD375" s="264" t="s">
        <v>23</v>
      </c>
      <c r="AE375" s="256" t="s">
        <v>1869</v>
      </c>
      <c r="AF375" s="838"/>
      <c r="AG375" s="205"/>
      <c r="AH375" s="383"/>
      <c r="AI375" s="543"/>
      <c r="AJ375" s="548"/>
      <c r="AK375" s="548"/>
      <c r="AL375" s="198"/>
      <c r="AM375" s="320"/>
      <c r="AN375" s="61"/>
      <c r="AO375" s="61"/>
      <c r="AP375" s="198"/>
      <c r="AQ375" s="61"/>
    </row>
    <row r="376" spans="1:43" s="47" customFormat="1" ht="30" customHeight="1">
      <c r="A376" s="253">
        <v>44</v>
      </c>
      <c r="B376" s="254" t="s">
        <v>1855</v>
      </c>
      <c r="C376" s="255" t="s">
        <v>1856</v>
      </c>
      <c r="D376" s="278" t="s">
        <v>1857</v>
      </c>
      <c r="E376" s="278" t="s">
        <v>1111</v>
      </c>
      <c r="F376" s="523">
        <v>45637</v>
      </c>
      <c r="G376" s="257">
        <f>VLOOKUP(B376,Attendance!$B$6:$G$386,6,0)</f>
        <v>31</v>
      </c>
      <c r="H376" s="258">
        <f>VLOOKUP(B$8:B$380,Attendance!$B$6:$L$386,11,0)</f>
        <v>10</v>
      </c>
      <c r="I376" s="257">
        <f t="shared" si="383"/>
        <v>21</v>
      </c>
      <c r="J376" s="258">
        <f t="shared" si="384"/>
        <v>709.67741935483866</v>
      </c>
      <c r="K376" s="72">
        <v>22000</v>
      </c>
      <c r="L376" s="72">
        <f t="shared" si="385"/>
        <v>13200</v>
      </c>
      <c r="M376" s="72">
        <f t="shared" si="386"/>
        <v>6600</v>
      </c>
      <c r="N376" s="72">
        <f t="shared" si="387"/>
        <v>1320</v>
      </c>
      <c r="O376" s="72">
        <f t="shared" si="388"/>
        <v>880</v>
      </c>
      <c r="P376" s="344"/>
      <c r="Q376" s="345">
        <f t="shared" si="389"/>
        <v>22000</v>
      </c>
      <c r="R376" s="345">
        <f t="shared" si="390"/>
        <v>14903</v>
      </c>
      <c r="S376" s="337"/>
      <c r="T376" s="337"/>
      <c r="U376" s="263"/>
      <c r="V376" s="338">
        <f t="shared" si="391"/>
        <v>14903</v>
      </c>
      <c r="W376" s="72"/>
      <c r="X376" s="261">
        <f>IFERROR(VLOOKUP(B376,'Lunch bill'!$B$6:$H$30,7,0),0)</f>
        <v>0</v>
      </c>
      <c r="Y376" s="261">
        <f t="shared" si="392"/>
        <v>0</v>
      </c>
      <c r="Z376" s="261">
        <f>IFERROR(VLOOKUP(B376,'55 Bike '!$B$7:$J$139,9,0),0)</f>
        <v>0</v>
      </c>
      <c r="AA376" s="261"/>
      <c r="AB376" s="73">
        <f t="shared" si="393"/>
        <v>0</v>
      </c>
      <c r="AC376" s="73">
        <f t="shared" si="394"/>
        <v>14903</v>
      </c>
      <c r="AD376" s="264" t="s">
        <v>23</v>
      </c>
      <c r="AE376" s="256" t="s">
        <v>1870</v>
      </c>
      <c r="AF376" s="838"/>
      <c r="AG376" s="205"/>
      <c r="AH376" s="383"/>
      <c r="AI376" s="543"/>
      <c r="AJ376" s="548"/>
      <c r="AK376" s="548"/>
      <c r="AL376" s="198"/>
      <c r="AM376" s="320"/>
      <c r="AN376" s="61"/>
      <c r="AO376" s="61"/>
      <c r="AP376" s="198"/>
      <c r="AQ376" s="61"/>
    </row>
    <row r="377" spans="1:43" s="47" customFormat="1" ht="25.5" customHeight="1">
      <c r="A377" s="253">
        <v>45</v>
      </c>
      <c r="B377" s="254" t="s">
        <v>1858</v>
      </c>
      <c r="C377" s="255" t="s">
        <v>1859</v>
      </c>
      <c r="D377" s="278" t="s">
        <v>463</v>
      </c>
      <c r="E377" s="278" t="s">
        <v>74</v>
      </c>
      <c r="F377" s="523">
        <v>45627</v>
      </c>
      <c r="G377" s="257">
        <f>VLOOKUP(B377,Attendance!$B$6:$G$386,6,0)</f>
        <v>31</v>
      </c>
      <c r="H377" s="258">
        <f>VLOOKUP(B$8:B$380,Attendance!$B$6:$L$386,11,0)</f>
        <v>0</v>
      </c>
      <c r="I377" s="257">
        <f t="shared" ref="I377:I379" si="395">G377-H377</f>
        <v>31</v>
      </c>
      <c r="J377" s="258">
        <f t="shared" ref="J377:J379" si="396">Q377/G377</f>
        <v>516.12903225806451</v>
      </c>
      <c r="K377" s="72">
        <v>16000</v>
      </c>
      <c r="L377" s="72">
        <f t="shared" ref="L377:L379" si="397">K377*60%</f>
        <v>9600</v>
      </c>
      <c r="M377" s="72">
        <f t="shared" ref="M377:M379" si="398">K377*30%</f>
        <v>4800</v>
      </c>
      <c r="N377" s="72">
        <f t="shared" ref="N377:N379" si="399">K377*6%</f>
        <v>960</v>
      </c>
      <c r="O377" s="72">
        <f t="shared" ref="O377:O379" si="400">K377*4%</f>
        <v>640</v>
      </c>
      <c r="P377" s="344"/>
      <c r="Q377" s="345">
        <f t="shared" ref="Q377:Q379" si="401">SUM(L377:P377)</f>
        <v>16000</v>
      </c>
      <c r="R377" s="345">
        <f t="shared" ref="R377:R379" si="402">ROUND(I377*J377,)</f>
        <v>16000</v>
      </c>
      <c r="S377" s="337"/>
      <c r="T377" s="337"/>
      <c r="U377" s="263"/>
      <c r="V377" s="338">
        <f t="shared" ref="V377:V379" si="403">SUM(R377:U377)</f>
        <v>16000</v>
      </c>
      <c r="W377" s="72"/>
      <c r="X377" s="261">
        <f>IFERROR(VLOOKUP(B377,'Lunch bill'!$B$6:$H$30,7,0),0)</f>
        <v>0</v>
      </c>
      <c r="Y377" s="261">
        <f t="shared" ref="Y377:Y379" si="404">ROUND(IF($AH$4-F377&gt;=360,L377*5%,0),0)</f>
        <v>0</v>
      </c>
      <c r="Z377" s="261">
        <f>IFERROR(VLOOKUP(B377,'55 Bike '!$B$7:$J$139,9,0),0)</f>
        <v>0</v>
      </c>
      <c r="AA377" s="261"/>
      <c r="AB377" s="73">
        <f t="shared" ref="AB377:AB379" si="405">SUM(W377:AA377)</f>
        <v>0</v>
      </c>
      <c r="AC377" s="73">
        <f t="shared" ref="AC377:AC379" si="406">ROUND(V377-AB377,0)</f>
        <v>16000</v>
      </c>
      <c r="AD377" s="264" t="s">
        <v>25</v>
      </c>
      <c r="AE377" s="256"/>
      <c r="AF377" s="838"/>
      <c r="AG377" s="205"/>
      <c r="AH377" s="383"/>
      <c r="AI377" s="543"/>
      <c r="AJ377" s="548"/>
      <c r="AK377" s="548"/>
      <c r="AL377" s="198"/>
      <c r="AM377" s="320"/>
      <c r="AN377" s="61"/>
      <c r="AO377" s="61"/>
      <c r="AP377" s="198"/>
      <c r="AQ377" s="61"/>
    </row>
    <row r="378" spans="1:43" s="47" customFormat="1" ht="25.5" customHeight="1">
      <c r="A378" s="253">
        <v>46</v>
      </c>
      <c r="B378" s="254" t="s">
        <v>1860</v>
      </c>
      <c r="C378" s="255" t="s">
        <v>1861</v>
      </c>
      <c r="D378" s="278" t="s">
        <v>1862</v>
      </c>
      <c r="E378" s="278" t="s">
        <v>74</v>
      </c>
      <c r="F378" s="523">
        <v>45627</v>
      </c>
      <c r="G378" s="257">
        <f>VLOOKUP(B378,Attendance!$B$6:$G$386,6,0)</f>
        <v>31</v>
      </c>
      <c r="H378" s="258">
        <f>VLOOKUP(B$8:B$380,Attendance!$B$6:$L$386,11,0)</f>
        <v>0</v>
      </c>
      <c r="I378" s="257">
        <f t="shared" si="395"/>
        <v>31</v>
      </c>
      <c r="J378" s="258">
        <f t="shared" si="396"/>
        <v>483.87096774193549</v>
      </c>
      <c r="K378" s="72">
        <v>15000</v>
      </c>
      <c r="L378" s="72">
        <f t="shared" si="397"/>
        <v>9000</v>
      </c>
      <c r="M378" s="72">
        <f t="shared" si="398"/>
        <v>4500</v>
      </c>
      <c r="N378" s="72">
        <f t="shared" si="399"/>
        <v>900</v>
      </c>
      <c r="O378" s="72">
        <f t="shared" si="400"/>
        <v>600</v>
      </c>
      <c r="P378" s="344"/>
      <c r="Q378" s="345">
        <f t="shared" si="401"/>
        <v>15000</v>
      </c>
      <c r="R378" s="345">
        <f t="shared" si="402"/>
        <v>15000</v>
      </c>
      <c r="S378" s="337"/>
      <c r="T378" s="337"/>
      <c r="U378" s="263"/>
      <c r="V378" s="338">
        <f t="shared" si="403"/>
        <v>15000</v>
      </c>
      <c r="W378" s="72"/>
      <c r="X378" s="261">
        <f>IFERROR(VLOOKUP(B378,'Lunch bill'!$B$6:$H$30,7,0),0)</f>
        <v>0</v>
      </c>
      <c r="Y378" s="261">
        <f t="shared" si="404"/>
        <v>0</v>
      </c>
      <c r="Z378" s="261">
        <f>IFERROR(VLOOKUP(B378,'55 Bike '!$B$7:$J$139,9,0),0)</f>
        <v>0</v>
      </c>
      <c r="AA378" s="261"/>
      <c r="AB378" s="73">
        <f t="shared" si="405"/>
        <v>0</v>
      </c>
      <c r="AC378" s="73">
        <f t="shared" si="406"/>
        <v>15000</v>
      </c>
      <c r="AD378" s="264" t="s">
        <v>25</v>
      </c>
      <c r="AE378" s="256"/>
      <c r="AF378" s="838"/>
      <c r="AG378" s="205"/>
      <c r="AH378" s="383"/>
      <c r="AI378" s="543"/>
      <c r="AJ378" s="548"/>
      <c r="AK378" s="548"/>
      <c r="AL378" s="198"/>
      <c r="AM378" s="320"/>
      <c r="AN378" s="61"/>
      <c r="AO378" s="61"/>
      <c r="AP378" s="198"/>
      <c r="AQ378" s="61"/>
    </row>
    <row r="379" spans="1:43" s="47" customFormat="1" ht="25.5" customHeight="1">
      <c r="A379" s="253">
        <v>47</v>
      </c>
      <c r="B379" s="254" t="s">
        <v>1863</v>
      </c>
      <c r="C379" s="255" t="s">
        <v>424</v>
      </c>
      <c r="D379" s="278" t="s">
        <v>1864</v>
      </c>
      <c r="E379" s="278" t="s">
        <v>74</v>
      </c>
      <c r="F379" s="523">
        <v>45627</v>
      </c>
      <c r="G379" s="257">
        <f>VLOOKUP(B379,Attendance!$B$6:$G$386,6,0)</f>
        <v>31</v>
      </c>
      <c r="H379" s="258">
        <f>VLOOKUP(B$8:B$380,Attendance!$B$6:$L$386,11,0)</f>
        <v>0</v>
      </c>
      <c r="I379" s="257">
        <f t="shared" si="395"/>
        <v>31</v>
      </c>
      <c r="J379" s="258">
        <f t="shared" si="396"/>
        <v>451.61290322580646</v>
      </c>
      <c r="K379" s="72">
        <v>14000</v>
      </c>
      <c r="L379" s="72">
        <f t="shared" si="397"/>
        <v>8400</v>
      </c>
      <c r="M379" s="72">
        <f t="shared" si="398"/>
        <v>4200</v>
      </c>
      <c r="N379" s="72">
        <f t="shared" si="399"/>
        <v>840</v>
      </c>
      <c r="O379" s="72">
        <f t="shared" si="400"/>
        <v>560</v>
      </c>
      <c r="P379" s="344"/>
      <c r="Q379" s="345">
        <f t="shared" si="401"/>
        <v>14000</v>
      </c>
      <c r="R379" s="345">
        <f t="shared" si="402"/>
        <v>14000</v>
      </c>
      <c r="S379" s="337"/>
      <c r="T379" s="337"/>
      <c r="U379" s="263"/>
      <c r="V379" s="338">
        <f t="shared" si="403"/>
        <v>14000</v>
      </c>
      <c r="W379" s="72"/>
      <c r="X379" s="261">
        <f>IFERROR(VLOOKUP(B379,'Lunch bill'!$B$6:$H$30,7,0),0)</f>
        <v>0</v>
      </c>
      <c r="Y379" s="261">
        <f t="shared" si="404"/>
        <v>0</v>
      </c>
      <c r="Z379" s="261">
        <f>IFERROR(VLOOKUP(B379,'55 Bike '!$B$7:$J$139,9,0),0)</f>
        <v>0</v>
      </c>
      <c r="AA379" s="261"/>
      <c r="AB379" s="73">
        <f t="shared" si="405"/>
        <v>0</v>
      </c>
      <c r="AC379" s="73">
        <f t="shared" si="406"/>
        <v>14000</v>
      </c>
      <c r="AD379" s="264" t="s">
        <v>25</v>
      </c>
      <c r="AE379" s="256"/>
      <c r="AF379" s="838"/>
      <c r="AG379" s="205"/>
      <c r="AH379" s="383"/>
      <c r="AI379" s="543"/>
      <c r="AJ379" s="548"/>
      <c r="AK379" s="548"/>
      <c r="AL379" s="198"/>
      <c r="AM379" s="320"/>
      <c r="AN379" s="61"/>
      <c r="AO379" s="61"/>
      <c r="AP379" s="198"/>
      <c r="AQ379" s="61"/>
    </row>
    <row r="380" spans="1:43" s="30" customFormat="1" ht="24.95" customHeight="1">
      <c r="A380" s="1031"/>
      <c r="B380" s="1032"/>
      <c r="C380" s="1033"/>
      <c r="D380" s="1034"/>
      <c r="E380" s="1034"/>
      <c r="F380" s="1035"/>
      <c r="G380" s="1036"/>
      <c r="H380" s="1036"/>
      <c r="I380" s="1036"/>
      <c r="J380" s="1037"/>
      <c r="K380" s="1037">
        <f>SUM(K333:K379)</f>
        <v>1263500</v>
      </c>
      <c r="L380" s="1037">
        <f t="shared" ref="L380:AC380" si="407">SUM(L333:L379)</f>
        <v>758100</v>
      </c>
      <c r="M380" s="1037">
        <f t="shared" si="407"/>
        <v>379050</v>
      </c>
      <c r="N380" s="1037">
        <f t="shared" si="407"/>
        <v>75810</v>
      </c>
      <c r="O380" s="1037">
        <f t="shared" si="407"/>
        <v>50540</v>
      </c>
      <c r="P380" s="1037">
        <f t="shared" si="407"/>
        <v>0</v>
      </c>
      <c r="Q380" s="1037">
        <f t="shared" si="407"/>
        <v>1263500</v>
      </c>
      <c r="R380" s="1037">
        <f t="shared" si="407"/>
        <v>1256403</v>
      </c>
      <c r="S380" s="1037">
        <f t="shared" si="407"/>
        <v>0</v>
      </c>
      <c r="T380" s="1037">
        <f t="shared" si="407"/>
        <v>0</v>
      </c>
      <c r="U380" s="1037">
        <f t="shared" si="407"/>
        <v>0</v>
      </c>
      <c r="V380" s="1037">
        <f t="shared" si="407"/>
        <v>1256403</v>
      </c>
      <c r="W380" s="1037">
        <f t="shared" si="407"/>
        <v>5754</v>
      </c>
      <c r="X380" s="1037">
        <f t="shared" si="407"/>
        <v>0</v>
      </c>
      <c r="Y380" s="1037">
        <f t="shared" si="407"/>
        <v>4680</v>
      </c>
      <c r="Z380" s="1037">
        <f t="shared" si="407"/>
        <v>28245</v>
      </c>
      <c r="AA380" s="1037">
        <f t="shared" si="407"/>
        <v>0</v>
      </c>
      <c r="AB380" s="1037">
        <f t="shared" si="407"/>
        <v>38679</v>
      </c>
      <c r="AC380" s="1037">
        <f t="shared" si="407"/>
        <v>1217724</v>
      </c>
      <c r="AD380" s="1038"/>
      <c r="AE380" s="1039"/>
      <c r="AF380" s="838"/>
      <c r="AG380" s="199"/>
      <c r="AH380" s="383"/>
      <c r="AI380" s="383"/>
      <c r="AJ380" s="548"/>
      <c r="AK380" s="545"/>
      <c r="AM380" s="320"/>
      <c r="AN380" s="61"/>
      <c r="AO380" s="61"/>
      <c r="AP380" s="198"/>
      <c r="AQ380" s="61"/>
    </row>
    <row r="381" spans="1:43" s="47" customFormat="1" ht="14.25" customHeight="1">
      <c r="A381" s="89"/>
      <c r="B381" s="90"/>
      <c r="C381" s="90"/>
      <c r="D381" s="281"/>
      <c r="E381" s="497"/>
      <c r="F381" s="527"/>
      <c r="G381" s="268"/>
      <c r="H381" s="247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603"/>
      <c r="Z381" s="90"/>
      <c r="AA381" s="90"/>
      <c r="AB381" s="90"/>
      <c r="AC381" s="90"/>
      <c r="AD381" s="90"/>
      <c r="AE381" s="91"/>
      <c r="AF381" s="838"/>
      <c r="AG381" s="90"/>
      <c r="AH381" s="383"/>
      <c r="AI381" s="61"/>
      <c r="AJ381" s="548"/>
      <c r="AK381" s="549"/>
      <c r="AL381" s="198"/>
      <c r="AM381" s="320"/>
      <c r="AN381" s="61"/>
      <c r="AO381" s="61"/>
      <c r="AP381" s="198"/>
      <c r="AQ381" s="61"/>
    </row>
    <row r="382" spans="1:43" s="30" customFormat="1" ht="24.95" customHeight="1">
      <c r="A382" s="1031">
        <f>COUNT(A8:A380)</f>
        <v>346</v>
      </c>
      <c r="B382" s="1032"/>
      <c r="C382" s="1033"/>
      <c r="D382" s="1034"/>
      <c r="E382" s="1034"/>
      <c r="F382" s="1035"/>
      <c r="G382" s="1036"/>
      <c r="H382" s="1036"/>
      <c r="I382" s="1036"/>
      <c r="J382" s="1036"/>
      <c r="K382" s="1037">
        <f t="shared" ref="K382:AC382" si="408">+K331+K282+K241+K231+K226+K202+K183+K173+K164+K140+K40+K35+K23+K380</f>
        <v>10701982</v>
      </c>
      <c r="L382" s="1037">
        <f t="shared" si="408"/>
        <v>6421189.2000000002</v>
      </c>
      <c r="M382" s="1037">
        <f t="shared" si="408"/>
        <v>3210594.6</v>
      </c>
      <c r="N382" s="1037">
        <f t="shared" si="408"/>
        <v>642118.92000000004</v>
      </c>
      <c r="O382" s="1037">
        <f t="shared" si="408"/>
        <v>428079.28</v>
      </c>
      <c r="P382" s="1037">
        <f t="shared" si="408"/>
        <v>7350</v>
      </c>
      <c r="Q382" s="1037">
        <f t="shared" si="408"/>
        <v>10709332</v>
      </c>
      <c r="R382" s="1037">
        <f t="shared" si="408"/>
        <v>10539607</v>
      </c>
      <c r="S382" s="1037">
        <f t="shared" si="408"/>
        <v>4000</v>
      </c>
      <c r="T382" s="1037">
        <f t="shared" si="408"/>
        <v>11000</v>
      </c>
      <c r="U382" s="1037">
        <f t="shared" si="408"/>
        <v>7316</v>
      </c>
      <c r="V382" s="1037">
        <f t="shared" si="408"/>
        <v>10561923</v>
      </c>
      <c r="W382" s="1037">
        <f t="shared" si="408"/>
        <v>72148.71428571429</v>
      </c>
      <c r="X382" s="1037">
        <f t="shared" si="408"/>
        <v>18300</v>
      </c>
      <c r="Y382" s="1037">
        <f t="shared" si="408"/>
        <v>209423</v>
      </c>
      <c r="Z382" s="1037">
        <f t="shared" si="408"/>
        <v>197067</v>
      </c>
      <c r="AA382" s="1037">
        <f t="shared" si="408"/>
        <v>47000</v>
      </c>
      <c r="AB382" s="1037">
        <f t="shared" si="408"/>
        <v>541778.71428571432</v>
      </c>
      <c r="AC382" s="1037">
        <f t="shared" si="408"/>
        <v>10020144</v>
      </c>
      <c r="AD382" s="1038"/>
      <c r="AE382" s="1039"/>
      <c r="AF382" s="838"/>
      <c r="AG382" s="199"/>
      <c r="AH382" s="464"/>
      <c r="AI382" s="61"/>
      <c r="AJ382" s="548"/>
      <c r="AK382" s="545"/>
      <c r="AM382" s="317"/>
      <c r="AO382" s="61"/>
      <c r="AP382" s="198"/>
      <c r="AQ382" s="61"/>
    </row>
    <row r="383" spans="1:43" s="142" customFormat="1" ht="24.95" customHeight="1">
      <c r="A383" s="132"/>
      <c r="B383" s="133"/>
      <c r="C383" s="134"/>
      <c r="D383" s="135"/>
      <c r="E383" s="135"/>
      <c r="F383" s="531"/>
      <c r="G383" s="138"/>
      <c r="H383" s="138"/>
      <c r="I383" s="139"/>
      <c r="J383" s="139"/>
      <c r="K383" s="139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0"/>
      <c r="Z383" s="140"/>
      <c r="AA383" s="140"/>
      <c r="AB383" s="140"/>
      <c r="AC383" s="140"/>
      <c r="AD383" s="141"/>
      <c r="AE383" s="136"/>
      <c r="AF383" s="839"/>
      <c r="AG383" s="136"/>
      <c r="AH383" s="466"/>
      <c r="AJ383" s="550"/>
      <c r="AK383" s="550"/>
      <c r="AM383" s="321"/>
    </row>
    <row r="384" spans="1:43" s="130" customFormat="1" ht="20.100000000000001" customHeight="1">
      <c r="A384" s="121"/>
      <c r="B384" s="121"/>
      <c r="C384" s="122"/>
      <c r="D384" s="143"/>
      <c r="E384" s="143"/>
      <c r="F384" s="532"/>
      <c r="G384" s="124"/>
      <c r="H384" s="124"/>
      <c r="I384" s="123"/>
      <c r="J384" s="124"/>
      <c r="K384" s="124"/>
      <c r="L384" s="123"/>
      <c r="M384" s="123"/>
      <c r="N384" s="123"/>
      <c r="O384" s="123"/>
      <c r="P384" s="123"/>
      <c r="Q384" s="123"/>
      <c r="R384" s="123"/>
      <c r="S384" s="123"/>
      <c r="T384" s="123"/>
      <c r="U384" s="782"/>
      <c r="V384" s="781"/>
      <c r="W384" s="14"/>
      <c r="X384" s="127" t="s">
        <v>29</v>
      </c>
      <c r="Y384" s="126"/>
      <c r="Z384" s="429"/>
      <c r="AA384" s="429"/>
      <c r="AB384" s="125"/>
      <c r="AC384" s="127" t="s">
        <v>23</v>
      </c>
      <c r="AD384" s="128" t="s">
        <v>24</v>
      </c>
      <c r="AE384" s="15">
        <f>SUMIF(AD$8:AD$382,AC384,AC$8:AC$382)</f>
        <v>9800190</v>
      </c>
      <c r="AF384" s="15"/>
      <c r="AG384" s="15"/>
      <c r="AH384" s="467"/>
      <c r="AI384" s="4"/>
      <c r="AJ384" s="551"/>
      <c r="AK384" s="551"/>
      <c r="AM384" s="322"/>
    </row>
    <row r="385" spans="1:39" s="130" customFormat="1" ht="20.100000000000001" customHeight="1">
      <c r="A385" s="121"/>
      <c r="B385" s="121"/>
      <c r="C385" s="122"/>
      <c r="D385" s="143"/>
      <c r="E385" s="143"/>
      <c r="F385" s="532"/>
      <c r="G385" s="124"/>
      <c r="H385" s="124"/>
      <c r="I385" s="123"/>
      <c r="J385" s="124"/>
      <c r="K385" s="124"/>
      <c r="L385" s="123"/>
      <c r="M385" s="123"/>
      <c r="N385" s="123"/>
      <c r="O385" s="123"/>
      <c r="P385" s="123"/>
      <c r="Q385" s="123"/>
      <c r="R385" s="123"/>
      <c r="S385" s="123"/>
      <c r="T385" s="123"/>
      <c r="U385" s="123"/>
      <c r="V385" s="14"/>
      <c r="W385" s="14"/>
      <c r="X385" s="125"/>
      <c r="Y385" s="126"/>
      <c r="Z385" s="429"/>
      <c r="AA385" s="429"/>
      <c r="AB385" s="125"/>
      <c r="AC385" s="127" t="s">
        <v>25</v>
      </c>
      <c r="AD385" s="128" t="s">
        <v>24</v>
      </c>
      <c r="AE385" s="15">
        <f>SUMIF(AD$8:AD$382,AC385,AC$8:AC$382)</f>
        <v>219954</v>
      </c>
      <c r="AF385" s="15"/>
      <c r="AG385" s="15"/>
      <c r="AH385" s="467"/>
      <c r="AI385" s="4"/>
      <c r="AJ385" s="551"/>
      <c r="AK385" s="551"/>
      <c r="AM385" s="322"/>
    </row>
    <row r="386" spans="1:39" s="130" customFormat="1" ht="20.100000000000001" customHeight="1" thickBot="1">
      <c r="A386" s="121"/>
      <c r="B386" s="121"/>
      <c r="C386" s="122"/>
      <c r="D386" s="143"/>
      <c r="E386" s="143"/>
      <c r="F386" s="532"/>
      <c r="G386" s="124"/>
      <c r="H386" s="124"/>
      <c r="I386" s="123"/>
      <c r="J386" s="124"/>
      <c r="K386" s="124"/>
      <c r="L386" s="123"/>
      <c r="M386" s="123"/>
      <c r="N386" s="123"/>
      <c r="O386" s="123"/>
      <c r="P386" s="123"/>
      <c r="Q386" s="123"/>
      <c r="R386" s="123"/>
      <c r="S386" s="123"/>
      <c r="T386" s="123"/>
      <c r="U386" s="123"/>
      <c r="V386" s="14"/>
      <c r="W386" s="14"/>
      <c r="X386" s="562"/>
      <c r="Y386" s="126"/>
      <c r="Z386" s="429"/>
      <c r="AA386" s="429"/>
      <c r="AB386" s="125"/>
      <c r="AC386" s="127"/>
      <c r="AD386" s="128"/>
      <c r="AE386" s="144">
        <f>SUM(AE384:AE385)</f>
        <v>10020144</v>
      </c>
      <c r="AF386" s="129"/>
      <c r="AG386" s="129"/>
      <c r="AH386" s="467"/>
      <c r="AI386" s="16"/>
      <c r="AJ386" s="551"/>
      <c r="AK386" s="551"/>
      <c r="AM386" s="322"/>
    </row>
    <row r="387" spans="1:39" s="130" customFormat="1" ht="20.100000000000001" customHeight="1" thickTop="1">
      <c r="A387" s="121"/>
      <c r="B387" s="121"/>
      <c r="C387" s="122"/>
      <c r="D387" s="143"/>
      <c r="E387" s="143"/>
      <c r="F387" s="532"/>
      <c r="G387" s="124"/>
      <c r="H387" s="124"/>
      <c r="I387" s="123"/>
      <c r="J387" s="124"/>
      <c r="K387" s="124"/>
      <c r="L387" s="123"/>
      <c r="M387" s="123"/>
      <c r="N387" s="123"/>
      <c r="O387" s="123"/>
      <c r="P387" s="123"/>
      <c r="Q387" s="123"/>
      <c r="R387" s="123"/>
      <c r="S387" s="123"/>
      <c r="T387" s="123"/>
      <c r="U387" s="123"/>
      <c r="V387" s="14"/>
      <c r="W387" s="14"/>
      <c r="X387" s="562"/>
      <c r="Y387" s="126"/>
      <c r="Z387" s="429"/>
      <c r="AA387" s="429"/>
      <c r="AB387" s="562"/>
      <c r="AC387" s="127"/>
      <c r="AD387" s="128"/>
      <c r="AE387" s="129"/>
      <c r="AF387" s="129"/>
      <c r="AG387" s="129"/>
      <c r="AH387" s="467"/>
      <c r="AI387" s="4"/>
      <c r="AJ387" s="551"/>
      <c r="AK387" s="551"/>
      <c r="AM387" s="322"/>
    </row>
    <row r="388" spans="1:39" s="130" customFormat="1" ht="20.100000000000001" customHeight="1">
      <c r="A388" s="121"/>
      <c r="B388" s="121"/>
      <c r="C388" s="122"/>
      <c r="D388" s="143"/>
      <c r="E388" s="143"/>
      <c r="F388" s="532"/>
      <c r="G388" s="124"/>
      <c r="H388" s="124"/>
      <c r="I388" s="123"/>
      <c r="J388" s="124"/>
      <c r="K388" s="124"/>
      <c r="L388" s="123"/>
      <c r="M388" s="123"/>
      <c r="N388" s="123"/>
      <c r="O388" s="123"/>
      <c r="P388" s="123"/>
      <c r="Q388" s="123"/>
      <c r="R388" s="123"/>
      <c r="S388" s="123"/>
      <c r="T388" s="123"/>
      <c r="U388" s="123"/>
      <c r="V388" s="14"/>
      <c r="W388" s="14"/>
      <c r="X388" s="562"/>
      <c r="Y388" s="126"/>
      <c r="Z388" s="127"/>
      <c r="AA388" s="127"/>
      <c r="AB388" s="562"/>
      <c r="AC388" s="125"/>
      <c r="AD388" s="128"/>
      <c r="AE388" s="129"/>
      <c r="AF388" s="129"/>
      <c r="AG388" s="129"/>
      <c r="AH388" s="467"/>
      <c r="AI388" s="4"/>
      <c r="AJ388" s="551"/>
      <c r="AK388" s="551"/>
      <c r="AM388" s="322"/>
    </row>
    <row r="389" spans="1:39" s="130" customFormat="1" ht="15">
      <c r="A389" s="121"/>
      <c r="B389" s="121"/>
      <c r="C389" s="122"/>
      <c r="D389" s="143"/>
      <c r="E389" s="143"/>
      <c r="F389" s="532"/>
      <c r="G389" s="124"/>
      <c r="H389" s="124"/>
      <c r="I389" s="123"/>
      <c r="J389" s="124"/>
      <c r="K389" s="124"/>
      <c r="L389" s="123"/>
      <c r="M389" s="123"/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3"/>
      <c r="Y389" s="124"/>
      <c r="Z389" s="124"/>
      <c r="AA389" s="124"/>
      <c r="AB389" s="123"/>
      <c r="AC389" s="123"/>
      <c r="AD389" s="145"/>
      <c r="AE389" s="145"/>
      <c r="AF389" s="840"/>
      <c r="AG389" s="145"/>
      <c r="AH389" s="467"/>
      <c r="AJ389" s="551"/>
      <c r="AK389" s="551"/>
      <c r="AM389" s="322"/>
    </row>
    <row r="390" spans="1:39" s="130" customFormat="1" ht="19.5" customHeight="1">
      <c r="A390" s="121"/>
      <c r="B390" s="121"/>
      <c r="C390" s="122"/>
      <c r="D390" s="143"/>
      <c r="E390" s="143"/>
      <c r="F390" s="532"/>
      <c r="G390" s="124"/>
      <c r="H390" s="124"/>
      <c r="I390" s="123"/>
      <c r="J390" s="124"/>
      <c r="K390" s="124"/>
      <c r="L390" s="123"/>
      <c r="M390" s="123"/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3"/>
      <c r="Y390" s="124"/>
      <c r="Z390" s="124"/>
      <c r="AA390" s="124"/>
      <c r="AB390" s="123"/>
      <c r="AC390" s="123"/>
      <c r="AD390" s="145"/>
      <c r="AE390" s="145"/>
      <c r="AF390" s="840"/>
      <c r="AG390" s="145"/>
      <c r="AH390" s="467"/>
      <c r="AJ390" s="551"/>
      <c r="AK390" s="551"/>
      <c r="AM390" s="322"/>
    </row>
    <row r="391" spans="1:39" s="130" customFormat="1" ht="19.5" customHeight="1">
      <c r="A391" s="121"/>
      <c r="B391" s="121"/>
      <c r="C391" s="122"/>
      <c r="D391" s="143"/>
      <c r="E391" s="143"/>
      <c r="F391" s="532"/>
      <c r="G391" s="124"/>
      <c r="H391" s="124"/>
      <c r="I391" s="123"/>
      <c r="J391" s="124"/>
      <c r="K391" s="124"/>
      <c r="L391" s="123"/>
      <c r="M391" s="123"/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4"/>
      <c r="Z391" s="124"/>
      <c r="AA391" s="124"/>
      <c r="AB391" s="123"/>
      <c r="AC391" s="123"/>
      <c r="AD391" s="145"/>
      <c r="AE391" s="145"/>
      <c r="AF391" s="840"/>
      <c r="AG391" s="145"/>
      <c r="AH391" s="467"/>
      <c r="AJ391" s="551"/>
      <c r="AK391" s="551"/>
      <c r="AM391" s="322"/>
    </row>
    <row r="392" spans="1:39" s="130" customFormat="1" ht="19.5" customHeight="1">
      <c r="A392" s="121"/>
      <c r="B392" s="121"/>
      <c r="C392" s="122"/>
      <c r="D392" s="143"/>
      <c r="E392" s="143"/>
      <c r="F392" s="532"/>
      <c r="G392" s="124"/>
      <c r="H392" s="124"/>
      <c r="I392" s="123"/>
      <c r="J392" s="124"/>
      <c r="K392" s="124"/>
      <c r="M392" s="123"/>
      <c r="N392" s="123"/>
      <c r="O392" s="123"/>
      <c r="P392" s="123"/>
      <c r="Q392" s="123"/>
      <c r="R392" s="123"/>
      <c r="S392" s="123"/>
      <c r="T392" s="123"/>
      <c r="U392" s="123"/>
      <c r="V392" s="123"/>
      <c r="X392" s="146"/>
      <c r="Y392" s="124"/>
      <c r="Z392" s="124"/>
      <c r="AA392" s="124"/>
      <c r="AB392" s="123"/>
      <c r="AC392" s="123"/>
      <c r="AD392" s="145"/>
      <c r="AE392" s="123"/>
      <c r="AF392" s="841"/>
      <c r="AG392" s="123"/>
      <c r="AH392" s="467"/>
      <c r="AJ392" s="551"/>
      <c r="AK392" s="551"/>
      <c r="AM392" s="322"/>
    </row>
    <row r="393" spans="1:39" s="17" customFormat="1" ht="16.5">
      <c r="B393" s="18"/>
      <c r="C393" s="18"/>
      <c r="D393" s="147"/>
      <c r="E393" s="147"/>
      <c r="F393" s="533"/>
      <c r="G393" s="18"/>
      <c r="H393" s="248"/>
      <c r="I393" s="18"/>
      <c r="J393" s="18"/>
      <c r="K393" s="18"/>
      <c r="L393" s="18"/>
      <c r="M393" s="18"/>
      <c r="N393" s="18"/>
      <c r="Q393" s="18"/>
      <c r="R393" s="18"/>
      <c r="S393" s="18"/>
      <c r="T393" s="18"/>
      <c r="U393" s="18"/>
      <c r="V393" s="18"/>
      <c r="Y393" s="468"/>
      <c r="Z393" s="248"/>
      <c r="AA393" s="248"/>
      <c r="AB393" s="18"/>
      <c r="AC393" s="18"/>
      <c r="AD393" s="18"/>
      <c r="AE393" s="18"/>
      <c r="AF393" s="842"/>
      <c r="AG393" s="18"/>
      <c r="AH393" s="468"/>
      <c r="AJ393" s="18"/>
      <c r="AK393" s="18"/>
      <c r="AM393" s="323"/>
    </row>
    <row r="394" spans="1:39" s="130" customFormat="1" ht="19.5" customHeight="1">
      <c r="A394" s="121"/>
      <c r="B394" s="121"/>
      <c r="C394" s="122"/>
      <c r="D394" s="143"/>
      <c r="E394" s="143"/>
      <c r="F394" s="532"/>
      <c r="G394" s="124"/>
      <c r="H394" s="124"/>
      <c r="I394" s="123"/>
      <c r="J394" s="124"/>
      <c r="K394" s="124"/>
      <c r="L394" s="123"/>
      <c r="M394" s="123"/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4"/>
      <c r="Z394" s="124"/>
      <c r="AA394" s="124"/>
      <c r="AB394" s="123"/>
      <c r="AC394" s="123"/>
      <c r="AD394" s="145"/>
      <c r="AE394" s="145"/>
      <c r="AF394" s="840"/>
      <c r="AG394" s="145"/>
      <c r="AH394" s="467"/>
      <c r="AJ394" s="551"/>
      <c r="AK394" s="551"/>
      <c r="AM394" s="322"/>
    </row>
    <row r="395" spans="1:39" s="155" customFormat="1" ht="19.5" customHeight="1">
      <c r="A395" s="149"/>
      <c r="B395" s="121"/>
      <c r="C395" s="122"/>
      <c r="D395" s="151"/>
      <c r="E395" s="151"/>
      <c r="F395" s="534"/>
      <c r="G395" s="152"/>
      <c r="H395" s="152"/>
      <c r="I395" s="153"/>
      <c r="J395" s="152"/>
      <c r="K395" s="152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23"/>
      <c r="X395" s="153"/>
      <c r="Y395" s="152"/>
      <c r="Z395" s="152"/>
      <c r="AA395" s="152"/>
      <c r="AB395" s="153"/>
      <c r="AC395" s="153"/>
      <c r="AD395" s="154"/>
      <c r="AE395" s="154"/>
      <c r="AF395" s="843"/>
      <c r="AG395" s="154"/>
      <c r="AH395" s="164"/>
      <c r="AJ395" s="552"/>
      <c r="AK395" s="552"/>
      <c r="AM395" s="324"/>
    </row>
    <row r="396" spans="1:39" ht="21" customHeight="1">
      <c r="V396" s="164"/>
    </row>
    <row r="397" spans="1:39" s="167" customFormat="1" ht="18">
      <c r="A397" s="166"/>
      <c r="B397" s="779"/>
      <c r="C397" s="174"/>
      <c r="D397" s="168"/>
      <c r="E397" s="168"/>
      <c r="F397" s="536"/>
      <c r="G397" s="169"/>
      <c r="H397" s="170"/>
      <c r="J397" s="170"/>
      <c r="K397" s="170"/>
      <c r="L397" s="171"/>
      <c r="M397" s="171"/>
      <c r="N397" s="171"/>
      <c r="O397" s="171"/>
      <c r="P397" s="171"/>
      <c r="Q397" s="172"/>
      <c r="R397" s="173"/>
      <c r="T397" s="166"/>
      <c r="V397" s="173"/>
      <c r="W397" s="174"/>
      <c r="X397" s="175"/>
      <c r="Y397" s="176"/>
      <c r="AB397" s="166"/>
      <c r="AC397" s="166"/>
      <c r="AD397" s="166"/>
      <c r="AE397" s="169"/>
      <c r="AF397" s="833"/>
      <c r="AG397" s="169"/>
      <c r="AH397" s="170"/>
      <c r="AJ397" s="554"/>
      <c r="AK397" s="554"/>
      <c r="AM397" s="326"/>
    </row>
    <row r="398" spans="1:39" s="167" customFormat="1" ht="18">
      <c r="A398" s="166"/>
      <c r="B398" s="779"/>
      <c r="C398" s="174"/>
      <c r="D398" s="168"/>
      <c r="E398" s="168"/>
      <c r="F398" s="536"/>
      <c r="H398" s="170"/>
      <c r="J398" s="169"/>
      <c r="K398" s="169"/>
      <c r="L398" s="171"/>
      <c r="M398" s="172"/>
      <c r="O398" s="171"/>
      <c r="R398" s="173"/>
      <c r="T398" s="166"/>
      <c r="V398" s="173"/>
      <c r="W398" s="174"/>
      <c r="Y398" s="170"/>
      <c r="AB398" s="166"/>
      <c r="AC398" s="166"/>
      <c r="AD398" s="166"/>
      <c r="AE398" s="169"/>
      <c r="AF398" s="833"/>
      <c r="AG398" s="169"/>
      <c r="AH398" s="170"/>
      <c r="AJ398" s="554"/>
      <c r="AK398" s="554"/>
      <c r="AM398" s="326"/>
    </row>
    <row r="399" spans="1:39" s="167" customFormat="1" ht="18">
      <c r="B399" s="174"/>
      <c r="C399" s="174"/>
      <c r="D399" s="168"/>
      <c r="E399" s="168"/>
      <c r="F399" s="536"/>
      <c r="H399" s="170"/>
      <c r="J399" s="170"/>
      <c r="K399" s="170"/>
      <c r="L399" s="541"/>
      <c r="R399" s="166"/>
      <c r="S399" s="177"/>
      <c r="T399" s="178"/>
      <c r="V399" s="173"/>
      <c r="W399" s="174"/>
      <c r="Y399" s="170"/>
      <c r="Z399" s="170"/>
      <c r="AA399" s="170"/>
      <c r="AD399" s="166"/>
      <c r="AE399" s="555"/>
      <c r="AF399" s="833"/>
      <c r="AG399" s="555"/>
      <c r="AH399" s="170"/>
      <c r="AJ399" s="554"/>
      <c r="AK399" s="554"/>
      <c r="AM399" s="326"/>
    </row>
    <row r="400" spans="1:39" s="167" customFormat="1" ht="18">
      <c r="B400" s="174"/>
      <c r="C400" s="174"/>
      <c r="D400" s="168"/>
      <c r="E400" s="168"/>
      <c r="F400" s="537"/>
      <c r="H400" s="170"/>
      <c r="J400" s="170"/>
      <c r="K400" s="170"/>
      <c r="R400" s="166"/>
      <c r="S400" s="177"/>
      <c r="T400" s="178"/>
      <c r="V400" s="173"/>
      <c r="W400" s="174"/>
      <c r="Y400" s="170"/>
      <c r="Z400" s="170"/>
      <c r="AA400" s="170"/>
      <c r="AD400" s="166"/>
      <c r="AE400" s="166"/>
      <c r="AF400" s="833"/>
      <c r="AG400" s="166"/>
      <c r="AH400" s="170"/>
      <c r="AJ400" s="554"/>
      <c r="AK400" s="554"/>
      <c r="AM400" s="326"/>
    </row>
    <row r="401" spans="1:39" s="167" customFormat="1" ht="18">
      <c r="B401" s="174"/>
      <c r="C401" s="174"/>
      <c r="D401" s="168"/>
      <c r="E401" s="168"/>
      <c r="F401" s="536"/>
      <c r="H401" s="170"/>
      <c r="J401" s="170"/>
      <c r="K401" s="170"/>
      <c r="R401" s="166"/>
      <c r="V401" s="173"/>
      <c r="W401" s="174"/>
      <c r="Y401" s="170"/>
      <c r="Z401" s="170"/>
      <c r="AA401" s="170"/>
      <c r="AD401" s="166"/>
      <c r="AE401" s="555"/>
      <c r="AF401" s="833"/>
      <c r="AG401" s="555"/>
      <c r="AH401" s="170"/>
      <c r="AJ401" s="554"/>
      <c r="AK401" s="554"/>
      <c r="AM401" s="326"/>
    </row>
    <row r="402" spans="1:39" ht="18">
      <c r="A402" s="167"/>
      <c r="B402" s="174"/>
      <c r="C402" s="174"/>
      <c r="F402" s="536"/>
      <c r="J402" s="170"/>
      <c r="K402" s="170"/>
      <c r="L402" s="167"/>
      <c r="M402" s="167"/>
      <c r="N402" s="167"/>
      <c r="O402" s="167"/>
      <c r="R402" s="166"/>
      <c r="AB402" s="167"/>
      <c r="AC402" s="167"/>
      <c r="AD402" s="166"/>
    </row>
    <row r="419" spans="2:2" ht="20.25">
      <c r="B419" s="812"/>
    </row>
  </sheetData>
  <autoFilter ref="A6:AQ6" xr:uid="{00000000-0001-0000-0100-000000000000}"/>
  <mergeCells count="24">
    <mergeCell ref="A2:AE2"/>
    <mergeCell ref="A1:AE1"/>
    <mergeCell ref="A3:AE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L5:P5"/>
    <mergeCell ref="Q5:Q6"/>
    <mergeCell ref="AE5:AE6"/>
    <mergeCell ref="AD5:AD6"/>
    <mergeCell ref="K5:K6"/>
    <mergeCell ref="R5:R6"/>
    <mergeCell ref="S5:U5"/>
    <mergeCell ref="V5:V6"/>
    <mergeCell ref="AB5:AB6"/>
    <mergeCell ref="AC5:AC6"/>
    <mergeCell ref="W5:AA5"/>
  </mergeCells>
  <conditionalFormatting sqref="B130:B136">
    <cfRule type="duplicateValues" dxfId="101" priority="18"/>
  </conditionalFormatting>
  <conditionalFormatting sqref="B137:B139">
    <cfRule type="duplicateValues" dxfId="100" priority="9"/>
  </conditionalFormatting>
  <conditionalFormatting sqref="B224:B225">
    <cfRule type="duplicateValues" dxfId="99" priority="7"/>
  </conditionalFormatting>
  <conditionalFormatting sqref="B277:B281">
    <cfRule type="duplicateValues" dxfId="98" priority="2232"/>
  </conditionalFormatting>
  <conditionalFormatting sqref="B327:B330">
    <cfRule type="duplicateValues" dxfId="97" priority="2258"/>
  </conditionalFormatting>
  <conditionalFormatting sqref="B371:B373">
    <cfRule type="duplicateValues" dxfId="96" priority="12"/>
  </conditionalFormatting>
  <conditionalFormatting sqref="B374">
    <cfRule type="duplicateValues" dxfId="95" priority="4"/>
  </conditionalFormatting>
  <conditionalFormatting sqref="B375:B379">
    <cfRule type="duplicateValues" dxfId="94" priority="1"/>
  </conditionalFormatting>
  <conditionalFormatting sqref="B380:B1048576 B331:B370 B282:B326 B4 B7:B22 B140:B223 B24:B129 B226:B276">
    <cfRule type="duplicateValues" dxfId="93" priority="23"/>
  </conditionalFormatting>
  <conditionalFormatting sqref="AE126">
    <cfRule type="duplicateValues" dxfId="92" priority="11"/>
  </conditionalFormatting>
  <conditionalFormatting sqref="AE181:AE182 AG181:AG182">
    <cfRule type="duplicateValues" dxfId="91" priority="36"/>
  </conditionalFormatting>
  <conditionalFormatting sqref="AE200:AE201 AG200:AG201">
    <cfRule type="duplicateValues" dxfId="90" priority="24"/>
  </conditionalFormatting>
  <conditionalFormatting sqref="AE229 AG229">
    <cfRule type="duplicateValues" dxfId="89" priority="2104"/>
  </conditionalFormatting>
  <conditionalFormatting sqref="AE263 AG263">
    <cfRule type="duplicateValues" dxfId="88" priority="37"/>
  </conditionalFormatting>
  <conditionalFormatting sqref="AE264 AG264">
    <cfRule type="duplicateValues" dxfId="87" priority="33"/>
  </conditionalFormatting>
  <conditionalFormatting sqref="AE265:AE266 AG265:AG266">
    <cfRule type="duplicateValues" dxfId="86" priority="32"/>
  </conditionalFormatting>
  <conditionalFormatting sqref="AE322 AG322">
    <cfRule type="duplicateValues" dxfId="85" priority="34"/>
  </conditionalFormatting>
  <conditionalFormatting sqref="AE323:AE326 AG323:AG326">
    <cfRule type="duplicateValues" dxfId="84" priority="26"/>
  </conditionalFormatting>
  <conditionalFormatting sqref="AE327:AE330 AG327:AG330">
    <cfRule type="duplicateValues" dxfId="83" priority="2256"/>
  </conditionalFormatting>
  <conditionalFormatting sqref="AE368:AE370 AG368:AG370">
    <cfRule type="duplicateValues" dxfId="82" priority="38"/>
  </conditionalFormatting>
  <conditionalFormatting sqref="AE371:AE373 AG371:AG373">
    <cfRule type="duplicateValues" dxfId="81" priority="13"/>
  </conditionalFormatting>
  <conditionalFormatting sqref="AE374 AG374">
    <cfRule type="duplicateValues" dxfId="80" priority="5"/>
  </conditionalFormatting>
  <conditionalFormatting sqref="AE375:AE379 AG375:AG379">
    <cfRule type="duplicateValues" dxfId="79" priority="2"/>
  </conditionalFormatting>
  <conditionalFormatting sqref="AE130:AG136">
    <cfRule type="duplicateValues" dxfId="78" priority="19"/>
  </conditionalFormatting>
  <conditionalFormatting sqref="AE137:AG139">
    <cfRule type="duplicateValues" dxfId="77" priority="10"/>
  </conditionalFormatting>
  <conditionalFormatting sqref="AE224:AG225">
    <cfRule type="duplicateValues" dxfId="76" priority="8"/>
  </conditionalFormatting>
  <conditionalFormatting sqref="AE380:AG1048576 AE331:AE367 AE282:AE321 AE183:AE199 AG331:AG367 AG183:AG199 AE230:AE262 AE140:AE180 AE202:AE223 AG202:AG223 AE4:AG125 AG140:AG180 AG230:AG262 AG282:AG321 AF282:AF326 AF140:AF223 AF331:AF370 AE127:AG129 AF126:AG126 AF226:AF276 AG226:AG228 AE226:AE228 AF1:AG3">
    <cfRule type="duplicateValues" dxfId="75" priority="39"/>
  </conditionalFormatting>
  <conditionalFormatting sqref="AF277:AF281">
    <cfRule type="duplicateValues" dxfId="74" priority="2229"/>
  </conditionalFormatting>
  <conditionalFormatting sqref="AF327:AF330">
    <cfRule type="duplicateValues" dxfId="73" priority="2255"/>
  </conditionalFormatting>
  <conditionalFormatting sqref="AF371:AF373">
    <cfRule type="duplicateValues" dxfId="72" priority="14"/>
  </conditionalFormatting>
  <conditionalFormatting sqref="AF374">
    <cfRule type="duplicateValues" dxfId="71" priority="6"/>
  </conditionalFormatting>
  <conditionalFormatting sqref="AF375:AF379">
    <cfRule type="duplicateValues" dxfId="70" priority="3"/>
  </conditionalFormatting>
  <conditionalFormatting sqref="AG267:AG276 AE267:AE276">
    <cfRule type="duplicateValues" dxfId="69" priority="2058"/>
  </conditionalFormatting>
  <conditionalFormatting sqref="AG277:AG281 AE277:AE281">
    <cfRule type="duplicateValues" dxfId="68" priority="2230"/>
  </conditionalFormatting>
  <printOptions horizontalCentered="1"/>
  <pageMargins left="0.19685039370078741" right="0" top="0.35433070866141736" bottom="0.6692913385826772" header="0" footer="0"/>
  <pageSetup paperSize="9" scale="48" fitToHeight="0" orientation="landscape" verticalDpi="1200" r:id="rId1"/>
  <headerFooter>
    <oddFooter xml:space="preserve">&amp;C                                                                                             &amp;R&amp;"-,Bold"&amp;14Page &amp;P of &amp;N  </oddFooter>
  </headerFooter>
  <rowBreaks count="1" manualBreakCount="1">
    <brk id="40" max="30" man="1"/>
  </rowBreaks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2">
    <tabColor theme="0"/>
  </sheetPr>
  <dimension ref="A1:P74"/>
  <sheetViews>
    <sheetView showGridLines="0" view="pageBreakPreview" zoomScaleNormal="109" zoomScaleSheetLayoutView="100" workbookViewId="0">
      <pane xSplit="6" ySplit="6" topLeftCell="G7" activePane="bottomRight" state="frozen"/>
      <selection activeCell="H8" sqref="H8"/>
      <selection pane="topRight" activeCell="H8" sqref="H8"/>
      <selection pane="bottomLeft" activeCell="H8" sqref="H8"/>
      <selection pane="bottomRight" activeCell="C23" sqref="C23"/>
    </sheetView>
  </sheetViews>
  <sheetFormatPr defaultColWidth="9.140625" defaultRowHeight="12.75"/>
  <cols>
    <col min="1" max="1" width="4.140625" style="645" hidden="1" customWidth="1"/>
    <col min="2" max="2" width="5" style="645" customWidth="1"/>
    <col min="3" max="3" width="9.7109375" style="645" customWidth="1"/>
    <col min="4" max="4" width="9" style="645" bestFit="1" customWidth="1"/>
    <col min="5" max="5" width="11.85546875" style="645" bestFit="1" customWidth="1"/>
    <col min="6" max="6" width="9.28515625" style="645" bestFit="1" customWidth="1"/>
    <col min="7" max="7" width="3.42578125" style="645" customWidth="1"/>
    <col min="8" max="8" width="10" style="645" customWidth="1"/>
    <col min="9" max="10" width="10.85546875" style="645" customWidth="1"/>
    <col min="11" max="11" width="10.7109375" style="645" customWidth="1"/>
    <col min="12" max="12" width="13.5703125" style="645" customWidth="1"/>
    <col min="13" max="13" width="18.5703125" style="645" customWidth="1"/>
    <col min="14" max="14" width="18" style="645" customWidth="1"/>
    <col min="15" max="15" width="9.140625" style="645"/>
    <col min="16" max="16" width="6.5703125" style="645" bestFit="1" customWidth="1"/>
    <col min="17" max="16384" width="9.140625" style="645"/>
  </cols>
  <sheetData>
    <row r="1" spans="1:16" ht="20.25">
      <c r="B1" s="1215" t="s">
        <v>1546</v>
      </c>
      <c r="C1" s="1215"/>
      <c r="D1" s="1215"/>
      <c r="E1" s="1215"/>
      <c r="F1" s="1215"/>
      <c r="G1" s="1215"/>
      <c r="H1" s="1215"/>
      <c r="I1" s="1215"/>
      <c r="J1" s="1215"/>
      <c r="K1" s="1215"/>
      <c r="L1" s="1215"/>
    </row>
    <row r="2" spans="1:16">
      <c r="B2" s="1216" t="s">
        <v>1604</v>
      </c>
      <c r="C2" s="1216"/>
      <c r="D2" s="1216"/>
      <c r="E2" s="1216"/>
      <c r="F2" s="1216"/>
      <c r="G2" s="1216"/>
      <c r="H2" s="1216"/>
      <c r="I2" s="1216"/>
      <c r="J2" s="1216"/>
      <c r="K2" s="1216"/>
      <c r="L2" s="1216"/>
      <c r="N2" s="646" t="s">
        <v>401</v>
      </c>
      <c r="O2" s="646" t="s">
        <v>1547</v>
      </c>
      <c r="P2" s="646" t="s">
        <v>1547</v>
      </c>
    </row>
    <row r="3" spans="1:16" ht="5.25" customHeight="1">
      <c r="O3" s="647"/>
      <c r="P3" s="647"/>
    </row>
    <row r="4" spans="1:16" s="648" customFormat="1" ht="12">
      <c r="A4" s="648">
        <v>1</v>
      </c>
      <c r="B4" s="1217" t="s">
        <v>1548</v>
      </c>
      <c r="C4" s="1217"/>
      <c r="D4" s="649" t="str">
        <f>N5</f>
        <v>SQFMD-0683</v>
      </c>
      <c r="E4" s="650"/>
      <c r="F4" s="650"/>
      <c r="G4" s="651"/>
      <c r="I4" s="652"/>
      <c r="J4" s="652"/>
      <c r="L4" s="653"/>
      <c r="O4" s="650"/>
      <c r="P4" s="650"/>
    </row>
    <row r="5" spans="1:16" s="648" customFormat="1">
      <c r="A5" s="648">
        <v>2</v>
      </c>
      <c r="B5" s="1217" t="s">
        <v>1549</v>
      </c>
      <c r="C5" s="1217"/>
      <c r="D5" s="654" t="str">
        <f>VLOOKUP($N$5,'Salary -Dec-2024 (Full)'!B8:Q382,2,0)</f>
        <v>Md. Moshiur Rahman</v>
      </c>
      <c r="E5" s="650"/>
      <c r="F5" s="651"/>
      <c r="G5" s="651"/>
      <c r="I5" s="652"/>
      <c r="J5" s="652"/>
      <c r="L5" s="652"/>
      <c r="N5" s="655" t="s">
        <v>276</v>
      </c>
      <c r="O5" s="650"/>
      <c r="P5" s="650"/>
    </row>
    <row r="6" spans="1:16" s="648" customFormat="1">
      <c r="A6" s="648">
        <v>3</v>
      </c>
      <c r="B6" s="1217" t="s">
        <v>1550</v>
      </c>
      <c r="C6" s="1217"/>
      <c r="D6" s="654" t="str">
        <f>VLOOKUP($N$5,'Salary -Dec-2024 (Full)'!B8:Q382,3,0)</f>
        <v>Rgional Manager</v>
      </c>
      <c r="I6" s="656"/>
      <c r="J6" s="656"/>
      <c r="K6" s="657"/>
      <c r="L6" s="652"/>
      <c r="M6" s="645" t="s">
        <v>504</v>
      </c>
      <c r="N6" s="756">
        <f>VLOOKUP($N$5,'Salary -Dec-2024 (Full)'!B8:Q382,5,0)</f>
        <v>44867</v>
      </c>
      <c r="O6" s="650"/>
      <c r="P6" s="650">
        <v>12</v>
      </c>
    </row>
    <row r="7" spans="1:16" s="659" customFormat="1" ht="17.25" customHeight="1">
      <c r="A7" s="659">
        <v>6</v>
      </c>
      <c r="B7" s="1108"/>
      <c r="C7" s="1109" t="s">
        <v>1552</v>
      </c>
      <c r="D7" s="1110"/>
      <c r="E7" s="1110"/>
      <c r="F7" s="1110"/>
      <c r="G7" s="1110"/>
      <c r="H7" s="1111" t="s">
        <v>1553</v>
      </c>
      <c r="I7" s="1112" t="s">
        <v>1554</v>
      </c>
      <c r="J7" s="1113"/>
      <c r="K7" s="1113" t="s">
        <v>1555</v>
      </c>
      <c r="L7" s="1112" t="s">
        <v>1556</v>
      </c>
      <c r="M7" s="648" t="s">
        <v>1551</v>
      </c>
      <c r="N7" s="658">
        <f>SUM(I8:I11)</f>
        <v>75400</v>
      </c>
      <c r="O7" s="650"/>
      <c r="P7" s="646"/>
    </row>
    <row r="8" spans="1:16" ht="12" customHeight="1">
      <c r="A8" s="645">
        <v>7</v>
      </c>
      <c r="B8" s="662" t="s">
        <v>406</v>
      </c>
      <c r="C8" s="663" t="s">
        <v>1558</v>
      </c>
      <c r="D8" s="664" t="s">
        <v>1186</v>
      </c>
      <c r="E8" s="664"/>
      <c r="F8" s="664"/>
      <c r="G8" s="664"/>
      <c r="H8" s="654"/>
      <c r="I8" s="654">
        <f>VLOOKUP($N$5,'Salary -Dec-2024 (Full)'!B8:Q382,11,0)</f>
        <v>45240</v>
      </c>
      <c r="J8" s="654"/>
      <c r="K8" s="665" t="s">
        <v>1559</v>
      </c>
      <c r="L8" s="666">
        <f>IFERROR((H8*O7)+(I8*P$6)+(J8*0),0)</f>
        <v>542880</v>
      </c>
      <c r="M8" s="660" t="s">
        <v>1557</v>
      </c>
      <c r="N8" s="661">
        <f>L61</f>
        <v>6446.4000000000015</v>
      </c>
      <c r="O8" s="646"/>
    </row>
    <row r="9" spans="1:16" ht="12" customHeight="1">
      <c r="A9" s="645">
        <v>8</v>
      </c>
      <c r="B9" s="662" t="s">
        <v>407</v>
      </c>
      <c r="C9" s="663" t="s">
        <v>1561</v>
      </c>
      <c r="D9" s="664"/>
      <c r="E9" s="664"/>
      <c r="F9" s="664"/>
      <c r="G9" s="664"/>
      <c r="H9" s="654"/>
      <c r="I9" s="654">
        <f>I8/2</f>
        <v>22620</v>
      </c>
      <c r="J9" s="654"/>
      <c r="K9" s="668"/>
      <c r="L9" s="666">
        <f>IFERROR((H9*P$6)+(I9*P$6)+(J9*0),0)</f>
        <v>271440</v>
      </c>
      <c r="M9" s="660" t="s">
        <v>1560</v>
      </c>
      <c r="N9" s="667">
        <f>L62</f>
        <v>537</v>
      </c>
    </row>
    <row r="10" spans="1:16" ht="12" customHeight="1">
      <c r="A10" s="645">
        <v>9</v>
      </c>
      <c r="B10" s="662" t="s">
        <v>408</v>
      </c>
      <c r="C10" s="663" t="s">
        <v>1562</v>
      </c>
      <c r="D10" s="664"/>
      <c r="E10" s="664"/>
      <c r="F10" s="664"/>
      <c r="G10" s="664"/>
      <c r="H10" s="654"/>
      <c r="I10" s="654">
        <f>(I8/0.6)*6%</f>
        <v>4524</v>
      </c>
      <c r="J10" s="654"/>
      <c r="K10" s="668"/>
      <c r="L10" s="666">
        <f>IFERROR((H10*P$6)+(I10*P$6)+(J10*0),0)</f>
        <v>54288</v>
      </c>
    </row>
    <row r="11" spans="1:16" ht="12" customHeight="1">
      <c r="A11" s="645">
        <v>10</v>
      </c>
      <c r="B11" s="662" t="s">
        <v>409</v>
      </c>
      <c r="C11" s="663" t="s">
        <v>1563</v>
      </c>
      <c r="D11" s="664"/>
      <c r="E11" s="664"/>
      <c r="F11" s="664"/>
      <c r="G11" s="664"/>
      <c r="H11" s="654"/>
      <c r="I11" s="654">
        <f>(I8/0.6)*4%</f>
        <v>3016</v>
      </c>
      <c r="J11" s="654"/>
      <c r="K11" s="668"/>
      <c r="L11" s="666">
        <f>IFERROR((H11*P$6)+(I11*P$6)+(J11*0),0)</f>
        <v>36192</v>
      </c>
      <c r="N11" s="669"/>
    </row>
    <row r="12" spans="1:16" ht="12" customHeight="1">
      <c r="A12" s="645">
        <v>13</v>
      </c>
      <c r="B12" s="662" t="s">
        <v>410</v>
      </c>
      <c r="C12" s="663" t="s">
        <v>1564</v>
      </c>
      <c r="D12" s="664"/>
      <c r="E12" s="664"/>
      <c r="F12" s="664"/>
      <c r="G12" s="664"/>
      <c r="H12" s="654"/>
      <c r="I12" s="654">
        <f>I8</f>
        <v>45240</v>
      </c>
      <c r="J12" s="654"/>
      <c r="K12" s="668"/>
      <c r="L12" s="666">
        <f>I12*2</f>
        <v>90480</v>
      </c>
      <c r="M12" s="670"/>
      <c r="N12" s="669"/>
    </row>
    <row r="13" spans="1:16" ht="12" customHeight="1">
      <c r="A13" s="645">
        <v>14</v>
      </c>
      <c r="B13" s="662" t="s">
        <v>411</v>
      </c>
      <c r="C13" s="663" t="s">
        <v>1565</v>
      </c>
      <c r="D13" s="664"/>
      <c r="E13" s="664"/>
      <c r="F13" s="664"/>
      <c r="G13" s="664"/>
      <c r="H13" s="671"/>
      <c r="I13" s="654"/>
      <c r="J13" s="654"/>
      <c r="K13" s="668"/>
      <c r="L13" s="666">
        <f>IFERROR((H13*6)+(I13*6),0)</f>
        <v>0</v>
      </c>
      <c r="M13" s="658"/>
    </row>
    <row r="14" spans="1:16" ht="12" customHeight="1">
      <c r="A14" s="645">
        <v>15</v>
      </c>
      <c r="B14" s="662" t="s">
        <v>412</v>
      </c>
      <c r="C14" s="663" t="s">
        <v>1566</v>
      </c>
      <c r="D14" s="664"/>
      <c r="E14" s="664"/>
      <c r="F14" s="664"/>
      <c r="G14" s="664"/>
      <c r="H14" s="672"/>
      <c r="I14" s="673"/>
      <c r="J14" s="673"/>
      <c r="K14" s="668"/>
      <c r="L14" s="666">
        <f>IFERROR((H14*6)+(I14*6),0)</f>
        <v>0</v>
      </c>
    </row>
    <row r="15" spans="1:16" s="659" customFormat="1" ht="12" customHeight="1">
      <c r="A15" s="659">
        <v>16</v>
      </c>
      <c r="B15" s="674"/>
      <c r="C15" s="675"/>
      <c r="D15" s="676" t="s">
        <v>1567</v>
      </c>
      <c r="E15" s="676"/>
      <c r="F15" s="676"/>
      <c r="G15" s="676"/>
      <c r="H15" s="677"/>
      <c r="I15" s="677"/>
      <c r="J15" s="677"/>
      <c r="K15" s="677"/>
      <c r="L15" s="678">
        <f>SUM(L8:L14)</f>
        <v>995280</v>
      </c>
      <c r="M15" s="645"/>
      <c r="N15" s="645"/>
      <c r="O15" s="645"/>
    </row>
    <row r="16" spans="1:16" ht="12" customHeight="1">
      <c r="A16" s="645">
        <v>17</v>
      </c>
      <c r="B16" s="679" t="s">
        <v>413</v>
      </c>
      <c r="C16" s="663" t="s">
        <v>1568</v>
      </c>
      <c r="D16" s="664"/>
      <c r="E16" s="664"/>
      <c r="F16" s="664"/>
      <c r="G16" s="664"/>
      <c r="H16" s="668"/>
      <c r="I16" s="668"/>
      <c r="J16" s="668"/>
      <c r="K16" s="668"/>
      <c r="L16" s="654"/>
      <c r="O16" s="659"/>
    </row>
    <row r="17" spans="1:15" ht="12" customHeight="1">
      <c r="B17" s="679"/>
      <c r="C17" s="680" t="s">
        <v>1569</v>
      </c>
      <c r="D17" s="664"/>
      <c r="E17" s="664"/>
      <c r="F17" s="664"/>
      <c r="G17" s="664"/>
      <c r="H17" s="668"/>
      <c r="I17" s="668"/>
      <c r="J17" s="668"/>
      <c r="K17" s="668"/>
      <c r="L17" s="654"/>
      <c r="M17" s="658"/>
      <c r="N17" s="659"/>
    </row>
    <row r="18" spans="1:15" ht="12" customHeight="1">
      <c r="B18" s="679"/>
      <c r="C18" s="663"/>
      <c r="D18" s="664" t="s">
        <v>1570</v>
      </c>
      <c r="E18" s="664"/>
      <c r="F18" s="664"/>
      <c r="G18" s="664"/>
      <c r="H18" s="668"/>
      <c r="I18" s="668"/>
      <c r="J18" s="668"/>
      <c r="K18" s="668"/>
      <c r="L18" s="654"/>
      <c r="M18" s="658"/>
      <c r="N18" s="659"/>
    </row>
    <row r="19" spans="1:15" ht="12" customHeight="1">
      <c r="A19" s="645">
        <v>18</v>
      </c>
      <c r="B19" s="679"/>
      <c r="C19" s="663"/>
      <c r="D19" s="664" t="s">
        <v>1571</v>
      </c>
      <c r="I19" s="668"/>
      <c r="J19" s="668"/>
      <c r="K19" s="681">
        <v>450000</v>
      </c>
      <c r="L19" s="654"/>
      <c r="M19" s="658"/>
      <c r="N19" s="659"/>
    </row>
    <row r="20" spans="1:15" ht="12" customHeight="1">
      <c r="A20" s="645">
        <v>19</v>
      </c>
      <c r="B20" s="679"/>
      <c r="C20" s="663"/>
      <c r="D20" s="664" t="s">
        <v>1572</v>
      </c>
      <c r="I20" s="668"/>
      <c r="J20" s="668"/>
      <c r="K20" s="673">
        <f>L15*1/3</f>
        <v>331760</v>
      </c>
      <c r="L20" s="654"/>
    </row>
    <row r="21" spans="1:15" ht="12" customHeight="1">
      <c r="A21" s="645">
        <v>21</v>
      </c>
      <c r="B21" s="679"/>
      <c r="C21" s="663"/>
      <c r="D21" s="664"/>
      <c r="E21" s="664"/>
      <c r="F21" s="664"/>
      <c r="G21" s="664"/>
      <c r="H21" s="668"/>
      <c r="I21" s="668"/>
      <c r="J21" s="668"/>
      <c r="K21" s="668"/>
      <c r="L21" s="654">
        <f>MIN(K19,K20)</f>
        <v>331760</v>
      </c>
    </row>
    <row r="22" spans="1:15" s="659" customFormat="1" ht="12" customHeight="1">
      <c r="A22" s="659">
        <v>22</v>
      </c>
      <c r="B22" s="674"/>
      <c r="C22" s="675"/>
      <c r="D22" s="676"/>
      <c r="E22" s="676"/>
      <c r="F22" s="676"/>
      <c r="G22" s="676"/>
      <c r="H22" s="677"/>
      <c r="I22" s="677"/>
      <c r="J22" s="677"/>
      <c r="K22" s="677"/>
      <c r="L22" s="682">
        <f>L15-L21</f>
        <v>663520</v>
      </c>
      <c r="M22" s="669"/>
      <c r="N22" s="645"/>
      <c r="O22" s="645"/>
    </row>
    <row r="23" spans="1:15" s="688" customFormat="1" ht="12" customHeight="1">
      <c r="A23" s="645">
        <v>23</v>
      </c>
      <c r="B23" s="683"/>
      <c r="C23" s="684" t="s">
        <v>1573</v>
      </c>
      <c r="D23" s="685"/>
      <c r="E23" s="685"/>
      <c r="F23" s="685"/>
      <c r="G23" s="685"/>
      <c r="H23" s="686"/>
      <c r="I23" s="686"/>
      <c r="J23" s="686"/>
      <c r="K23" s="686"/>
      <c r="L23" s="687">
        <v>0</v>
      </c>
      <c r="M23" s="645"/>
      <c r="N23" s="645"/>
      <c r="O23" s="659"/>
    </row>
    <row r="24" spans="1:15" s="688" customFormat="1" ht="12" customHeight="1">
      <c r="A24" s="645">
        <v>24</v>
      </c>
      <c r="B24" s="683"/>
      <c r="C24" s="684" t="s">
        <v>1574</v>
      </c>
      <c r="D24" s="685"/>
      <c r="E24" s="685"/>
      <c r="F24" s="685"/>
      <c r="G24" s="685"/>
      <c r="H24" s="686"/>
      <c r="I24" s="686"/>
      <c r="J24" s="686"/>
      <c r="K24" s="686"/>
      <c r="L24" s="687"/>
      <c r="M24" s="659"/>
      <c r="N24" s="645"/>
    </row>
    <row r="25" spans="1:15" s="688" customFormat="1" ht="12" customHeight="1">
      <c r="A25" s="645">
        <v>25</v>
      </c>
      <c r="B25" s="683"/>
      <c r="C25" s="684" t="s">
        <v>1575</v>
      </c>
      <c r="D25" s="685"/>
      <c r="E25" s="685"/>
      <c r="F25" s="685"/>
      <c r="G25" s="685"/>
      <c r="H25" s="686"/>
      <c r="I25" s="686"/>
      <c r="J25" s="686"/>
      <c r="K25" s="686"/>
      <c r="L25" s="687"/>
      <c r="N25" s="645"/>
    </row>
    <row r="26" spans="1:15" ht="12" customHeight="1">
      <c r="A26" s="645">
        <v>26</v>
      </c>
      <c r="B26" s="679"/>
      <c r="C26" s="663"/>
      <c r="D26" s="664"/>
      <c r="E26" s="664"/>
      <c r="F26" s="664"/>
      <c r="G26" s="664"/>
      <c r="H26" s="668"/>
      <c r="I26" s="668"/>
      <c r="J26" s="668"/>
      <c r="K26" s="668"/>
      <c r="L26" s="654">
        <f>SUM(L22:L25)</f>
        <v>663520</v>
      </c>
      <c r="M26" s="688"/>
      <c r="N26" s="688"/>
      <c r="O26" s="688"/>
    </row>
    <row r="27" spans="1:15" ht="12" customHeight="1">
      <c r="A27" s="645">
        <v>27</v>
      </c>
      <c r="B27" s="679"/>
      <c r="C27" s="663" t="s">
        <v>1576</v>
      </c>
      <c r="D27" s="664"/>
      <c r="E27" s="664"/>
      <c r="F27" s="664"/>
      <c r="G27" s="664"/>
      <c r="H27" s="689"/>
      <c r="I27" s="690"/>
      <c r="J27" s="690"/>
      <c r="K27" s="690"/>
      <c r="L27" s="691">
        <v>0</v>
      </c>
      <c r="M27" s="688"/>
      <c r="N27" s="688"/>
    </row>
    <row r="28" spans="1:15" ht="12" customHeight="1">
      <c r="A28" s="645">
        <v>28</v>
      </c>
      <c r="B28" s="679"/>
      <c r="C28" s="663"/>
      <c r="D28" s="664"/>
      <c r="E28" s="664"/>
      <c r="F28" s="664"/>
      <c r="G28" s="664"/>
      <c r="H28" s="664"/>
      <c r="I28" s="692" t="s">
        <v>1577</v>
      </c>
      <c r="J28" s="692"/>
      <c r="K28" s="690"/>
      <c r="L28" s="693">
        <f>SUM(L26-L27)</f>
        <v>663520</v>
      </c>
    </row>
    <row r="29" spans="1:15" ht="12" customHeight="1">
      <c r="A29" s="645">
        <v>29</v>
      </c>
      <c r="B29" s="694" t="s">
        <v>414</v>
      </c>
      <c r="C29" s="695" t="s">
        <v>1578</v>
      </c>
      <c r="D29" s="664"/>
      <c r="E29" s="664"/>
      <c r="G29" s="664"/>
      <c r="H29" s="664"/>
      <c r="I29" s="690"/>
      <c r="J29" s="690"/>
      <c r="K29" s="690"/>
      <c r="L29" s="696"/>
    </row>
    <row r="30" spans="1:15" s="703" customFormat="1" ht="22.5">
      <c r="A30" s="645">
        <v>30</v>
      </c>
      <c r="B30" s="697"/>
      <c r="C30" s="698"/>
      <c r="D30" s="699" t="s">
        <v>1559</v>
      </c>
      <c r="E30" s="699" t="s">
        <v>1579</v>
      </c>
      <c r="F30" s="700" t="s">
        <v>1559</v>
      </c>
      <c r="G30" s="699"/>
      <c r="H30" s="700" t="s">
        <v>1579</v>
      </c>
      <c r="I30" s="701" t="s">
        <v>1580</v>
      </c>
      <c r="J30" s="701"/>
      <c r="K30" s="1114" t="s">
        <v>1581</v>
      </c>
      <c r="L30" s="702"/>
      <c r="M30" s="645"/>
      <c r="N30" s="645"/>
      <c r="O30" s="645"/>
    </row>
    <row r="31" spans="1:15" ht="12" customHeight="1">
      <c r="A31" s="645">
        <v>31</v>
      </c>
      <c r="B31" s="662"/>
      <c r="C31" s="704" t="s">
        <v>1582</v>
      </c>
      <c r="D31" s="705">
        <v>350000</v>
      </c>
      <c r="E31" s="705">
        <v>400000</v>
      </c>
      <c r="F31" s="681">
        <f>$D31</f>
        <v>350000</v>
      </c>
      <c r="H31" s="681">
        <f>$E31</f>
        <v>400000</v>
      </c>
      <c r="I31" s="706">
        <v>0</v>
      </c>
      <c r="J31" s="706"/>
      <c r="K31" s="707">
        <f t="shared" ref="K31:K36" si="0">IF($K$8="M",F31*I31,IF($K$8="F",H31*I31,0))</f>
        <v>0</v>
      </c>
      <c r="L31" s="696"/>
      <c r="O31" s="703"/>
    </row>
    <row r="32" spans="1:15" ht="12" customHeight="1">
      <c r="A32" s="645">
        <v>32</v>
      </c>
      <c r="B32" s="662"/>
      <c r="C32" s="704" t="s">
        <v>1583</v>
      </c>
      <c r="D32" s="705">
        <v>100000</v>
      </c>
      <c r="E32" s="705">
        <v>100000</v>
      </c>
      <c r="F32" s="654">
        <f>IF(L$28&lt;=$D31,0,IF((L$28-F31)&gt;$D32,$D32, (L$28-F31)))</f>
        <v>100000</v>
      </c>
      <c r="H32" s="654">
        <f>IF(L$28&lt;=$E31,0,IF((L$28-H31)&gt;$E32,$E32,(L$28-H31)))</f>
        <v>100000</v>
      </c>
      <c r="I32" s="706">
        <v>0.05</v>
      </c>
      <c r="J32" s="706"/>
      <c r="K32" s="708">
        <f t="shared" si="0"/>
        <v>5000</v>
      </c>
      <c r="L32" s="696"/>
      <c r="M32" s="703"/>
      <c r="N32" s="703"/>
    </row>
    <row r="33" spans="1:12" ht="12" customHeight="1">
      <c r="A33" s="645">
        <v>33</v>
      </c>
      <c r="B33" s="662"/>
      <c r="C33" s="704" t="s">
        <v>1583</v>
      </c>
      <c r="D33" s="705">
        <v>400000</v>
      </c>
      <c r="E33" s="705">
        <v>400000</v>
      </c>
      <c r="F33" s="654">
        <f>IF(L$28&lt;=$D31,0,IF((L$28-F32-F31)&gt;$D33,$D33,(L$28-F32-F31)))</f>
        <v>213520</v>
      </c>
      <c r="H33" s="654">
        <f>IF(L$28&lt;=$E31,0,IF((L$28-H32-H31)&gt;$E33,$E33,(L$28-H32-H31)))</f>
        <v>163520</v>
      </c>
      <c r="I33" s="706">
        <v>0.1</v>
      </c>
      <c r="J33" s="706"/>
      <c r="K33" s="708">
        <f>IF($K$8="M",F33*I33,IF($K$8="F",H33*I33,0))</f>
        <v>21352</v>
      </c>
      <c r="L33" s="696"/>
    </row>
    <row r="34" spans="1:12" ht="12" customHeight="1">
      <c r="A34" s="645">
        <v>34</v>
      </c>
      <c r="B34" s="662"/>
      <c r="C34" s="704" t="s">
        <v>1583</v>
      </c>
      <c r="D34" s="705">
        <v>400000</v>
      </c>
      <c r="E34" s="705">
        <v>400000</v>
      </c>
      <c r="F34" s="654">
        <f>IF(L$28&lt;=$D31,0,IF((L$28-F31-F32-F33)&gt;$D34,$D34,(L$28-F31-F32-F33)))</f>
        <v>0</v>
      </c>
      <c r="H34" s="654">
        <f>IF(L$28&lt;=$E31,0,IF((L$28-H31-H32-H33)&gt;$E34,$E34,(L$28-H31-H32-H33)))</f>
        <v>0</v>
      </c>
      <c r="I34" s="706">
        <v>0.15</v>
      </c>
      <c r="J34" s="706"/>
      <c r="K34" s="708">
        <f t="shared" si="0"/>
        <v>0</v>
      </c>
      <c r="L34" s="696"/>
    </row>
    <row r="35" spans="1:12" ht="12" customHeight="1">
      <c r="A35" s="645">
        <v>35</v>
      </c>
      <c r="B35" s="662"/>
      <c r="C35" s="704" t="s">
        <v>1583</v>
      </c>
      <c r="D35" s="705">
        <v>500000</v>
      </c>
      <c r="E35" s="705">
        <v>500000</v>
      </c>
      <c r="F35" s="654">
        <f>IF(L$28&lt;=$D31,0,IF((L$28-F31-F32-F33-F34)&gt;$D35,$D35,(L$28-F31-F32-F33-F34)))</f>
        <v>0</v>
      </c>
      <c r="H35" s="654">
        <f>IF(L$28&lt;=$E31,0,IF((L$28-H31-H32-H33-H34)&gt;$E35,$E35,(L$28-H31-H32-H33-H34)))</f>
        <v>0</v>
      </c>
      <c r="I35" s="706">
        <v>0.2</v>
      </c>
      <c r="J35" s="706"/>
      <c r="K35" s="708">
        <f t="shared" si="0"/>
        <v>0</v>
      </c>
      <c r="L35" s="696"/>
    </row>
    <row r="36" spans="1:12" ht="12" customHeight="1">
      <c r="A36" s="645">
        <v>36</v>
      </c>
      <c r="B36" s="662"/>
      <c r="C36" s="704" t="s">
        <v>1584</v>
      </c>
      <c r="E36" s="705"/>
      <c r="F36" s="673">
        <f>IF(L$28&lt;=$D31,0,L$28-SUM(F31:F35))</f>
        <v>0</v>
      </c>
      <c r="H36" s="673">
        <f>IF(L$28&lt;=$E31,0,L$28-SUM(H31:H35))</f>
        <v>0</v>
      </c>
      <c r="I36" s="706">
        <v>0.25</v>
      </c>
      <c r="J36" s="706"/>
      <c r="K36" s="709">
        <f t="shared" si="0"/>
        <v>0</v>
      </c>
      <c r="L36" s="710"/>
    </row>
    <row r="37" spans="1:12" ht="12" customHeight="1">
      <c r="A37" s="645">
        <v>37</v>
      </c>
      <c r="B37" s="662"/>
      <c r="C37" s="704"/>
      <c r="E37" s="705"/>
      <c r="F37" s="689"/>
      <c r="H37" s="689"/>
      <c r="I37" s="706"/>
      <c r="J37" s="706"/>
      <c r="K37" s="690"/>
      <c r="L37" s="710"/>
    </row>
    <row r="38" spans="1:12" ht="12" customHeight="1">
      <c r="A38" s="645">
        <v>38</v>
      </c>
      <c r="B38" s="662"/>
      <c r="C38" s="663"/>
      <c r="D38" s="689"/>
      <c r="E38" s="689"/>
      <c r="F38" s="689"/>
      <c r="G38" s="689"/>
      <c r="H38" s="689"/>
      <c r="I38" s="676" t="s">
        <v>1585</v>
      </c>
      <c r="J38" s="676"/>
      <c r="K38" s="664"/>
      <c r="L38" s="711">
        <f>SUM(K31:K36)</f>
        <v>26352</v>
      </c>
    </row>
    <row r="39" spans="1:12" ht="12" customHeight="1">
      <c r="A39" s="645">
        <v>39</v>
      </c>
      <c r="B39" s="694" t="s">
        <v>415</v>
      </c>
      <c r="C39" s="695" t="s">
        <v>1586</v>
      </c>
      <c r="D39" s="664"/>
      <c r="E39" s="712"/>
      <c r="F39" s="664"/>
      <c r="G39" s="664"/>
      <c r="H39" s="664"/>
      <c r="I39" s="664"/>
      <c r="J39" s="664"/>
      <c r="K39" s="664"/>
      <c r="L39" s="710"/>
    </row>
    <row r="40" spans="1:12" ht="12" customHeight="1">
      <c r="A40" s="645">
        <v>40</v>
      </c>
      <c r="B40" s="713" t="s">
        <v>1587</v>
      </c>
      <c r="C40" s="714">
        <v>0.03</v>
      </c>
      <c r="D40" s="676" t="s">
        <v>1588</v>
      </c>
      <c r="E40" s="664"/>
      <c r="F40" s="664"/>
      <c r="G40" s="664"/>
      <c r="H40" s="664"/>
      <c r="I40" s="664"/>
      <c r="J40" s="664"/>
      <c r="K40" s="715">
        <f>L28*3%</f>
        <v>19905.599999999999</v>
      </c>
      <c r="L40" s="716"/>
    </row>
    <row r="41" spans="1:12">
      <c r="A41" s="645">
        <v>41</v>
      </c>
      <c r="B41" s="717" t="s">
        <v>1589</v>
      </c>
      <c r="C41" s="714">
        <v>0.15</v>
      </c>
      <c r="D41" s="676" t="s">
        <v>1590</v>
      </c>
      <c r="E41" s="664"/>
      <c r="F41" s="664" t="s">
        <v>1591</v>
      </c>
      <c r="G41" s="664"/>
      <c r="H41" s="664"/>
      <c r="I41" s="1115"/>
      <c r="J41" s="664"/>
      <c r="K41" s="718"/>
      <c r="L41" s="716"/>
    </row>
    <row r="42" spans="1:12">
      <c r="B42" s="717"/>
      <c r="C42" s="719"/>
      <c r="D42" s="664"/>
      <c r="E42" s="664"/>
      <c r="F42" s="664" t="s">
        <v>1592</v>
      </c>
      <c r="G42" s="664"/>
      <c r="H42" s="664"/>
      <c r="I42" s="1115">
        <f>I41*15%</f>
        <v>0</v>
      </c>
      <c r="J42" s="664"/>
      <c r="K42" s="718"/>
      <c r="L42" s="716"/>
    </row>
    <row r="43" spans="1:12">
      <c r="B43" s="717"/>
      <c r="C43" s="719"/>
      <c r="D43" s="664" t="s">
        <v>1593</v>
      </c>
      <c r="E43" s="664"/>
      <c r="F43" s="664"/>
      <c r="G43" s="664"/>
      <c r="H43" s="664"/>
      <c r="I43" s="664"/>
      <c r="J43" s="664"/>
      <c r="K43" s="718">
        <f>IF(I42&gt;K40,(I42),K40)</f>
        <v>19905.599999999999</v>
      </c>
      <c r="L43" s="716"/>
    </row>
    <row r="44" spans="1:12" ht="12" customHeight="1">
      <c r="A44" s="645">
        <v>42</v>
      </c>
      <c r="B44" s="717" t="s">
        <v>1594</v>
      </c>
      <c r="C44" s="663"/>
      <c r="D44" s="664" t="s">
        <v>1595</v>
      </c>
      <c r="E44" s="664"/>
      <c r="F44" s="664"/>
      <c r="G44" s="664"/>
      <c r="H44" s="664"/>
      <c r="I44" s="689"/>
      <c r="J44" s="689"/>
      <c r="K44" s="720">
        <v>1000000</v>
      </c>
      <c r="L44" s="716"/>
    </row>
    <row r="45" spans="1:12" ht="9.75" customHeight="1">
      <c r="A45" s="645">
        <v>43</v>
      </c>
      <c r="B45" s="662"/>
      <c r="C45" s="663"/>
      <c r="E45" s="664"/>
      <c r="F45" s="664"/>
      <c r="G45" s="664"/>
      <c r="H45" s="664"/>
      <c r="I45" s="689"/>
      <c r="J45" s="689"/>
      <c r="K45" s="664"/>
      <c r="L45" s="673"/>
    </row>
    <row r="46" spans="1:12">
      <c r="A46" s="645">
        <v>46</v>
      </c>
      <c r="B46" s="694" t="s">
        <v>416</v>
      </c>
      <c r="C46" s="675" t="s">
        <v>1596</v>
      </c>
      <c r="D46" s="664"/>
      <c r="E46" s="664"/>
      <c r="F46" s="664"/>
      <c r="G46" s="664"/>
      <c r="H46" s="664"/>
      <c r="I46" s="689"/>
      <c r="J46" s="689"/>
      <c r="K46" s="664"/>
      <c r="L46" s="721">
        <f>MIN(K40,K41,K44)</f>
        <v>19905.599999999999</v>
      </c>
    </row>
    <row r="47" spans="1:12" ht="5.25" customHeight="1">
      <c r="A47" s="645">
        <v>47</v>
      </c>
      <c r="B47" s="662"/>
      <c r="C47" s="663"/>
      <c r="D47" s="664"/>
      <c r="E47" s="664"/>
      <c r="F47" s="664"/>
      <c r="G47" s="664"/>
      <c r="H47" s="664"/>
      <c r="I47" s="689"/>
      <c r="J47" s="689"/>
      <c r="K47" s="664"/>
      <c r="L47" s="710"/>
    </row>
    <row r="48" spans="1:12" ht="12" customHeight="1">
      <c r="A48" s="645">
        <v>48</v>
      </c>
      <c r="B48" s="694" t="s">
        <v>417</v>
      </c>
      <c r="C48" s="722"/>
      <c r="D48" s="723"/>
      <c r="E48" s="723"/>
      <c r="F48" s="723"/>
      <c r="G48" s="664"/>
      <c r="H48" s="668"/>
      <c r="I48" s="668"/>
      <c r="J48" s="668"/>
      <c r="L48" s="724"/>
    </row>
    <row r="49" spans="1:15" s="659" customFormat="1" ht="12" customHeight="1">
      <c r="A49" s="659">
        <v>52</v>
      </c>
      <c r="B49" s="674"/>
      <c r="C49" s="725"/>
      <c r="D49" s="676"/>
      <c r="E49" s="676"/>
      <c r="F49" s="676"/>
      <c r="G49" s="676"/>
      <c r="H49" s="668"/>
      <c r="I49" s="668"/>
      <c r="J49" s="668"/>
      <c r="K49" s="676"/>
      <c r="L49" s="721"/>
      <c r="M49" s="645"/>
      <c r="N49" s="645"/>
      <c r="O49" s="645"/>
    </row>
    <row r="50" spans="1:15" ht="4.5" customHeight="1">
      <c r="A50" s="645">
        <v>54</v>
      </c>
      <c r="B50" s="662"/>
      <c r="C50" s="722"/>
      <c r="D50" s="664"/>
      <c r="E50" s="664"/>
      <c r="F50" s="664"/>
      <c r="G50" s="664"/>
      <c r="H50" s="664"/>
      <c r="I50" s="664"/>
      <c r="J50" s="664"/>
      <c r="K50" s="668"/>
      <c r="L50" s="727"/>
      <c r="M50" s="726"/>
      <c r="O50" s="659"/>
    </row>
    <row r="51" spans="1:15" s="659" customFormat="1">
      <c r="A51" s="659">
        <v>55</v>
      </c>
      <c r="B51" s="694" t="s">
        <v>418</v>
      </c>
      <c r="C51" s="725" t="s">
        <v>1597</v>
      </c>
      <c r="D51" s="676"/>
      <c r="E51" s="676"/>
      <c r="F51" s="676"/>
      <c r="G51" s="676"/>
      <c r="H51" s="676"/>
      <c r="I51" s="676"/>
      <c r="J51" s="676"/>
      <c r="K51" s="676"/>
      <c r="L51" s="728">
        <f>IF((L38-L46)&gt;5000,(L38-L46),5000)</f>
        <v>6446.4000000000015</v>
      </c>
      <c r="O51" s="645"/>
    </row>
    <row r="52" spans="1:15" ht="12" customHeight="1">
      <c r="A52" s="645">
        <v>56</v>
      </c>
      <c r="B52" s="662"/>
      <c r="C52" s="663" t="s">
        <v>1598</v>
      </c>
      <c r="D52" s="664"/>
      <c r="E52" s="664"/>
      <c r="F52" s="664"/>
      <c r="G52" s="664"/>
      <c r="H52" s="664"/>
      <c r="I52" s="664"/>
      <c r="J52" s="664"/>
      <c r="K52" s="664"/>
      <c r="L52" s="696">
        <v>0</v>
      </c>
      <c r="M52" s="757"/>
      <c r="O52" s="659"/>
    </row>
    <row r="53" spans="1:15" ht="12" customHeight="1" thickBot="1">
      <c r="A53" s="645">
        <v>57</v>
      </c>
      <c r="B53" s="694" t="s">
        <v>419</v>
      </c>
      <c r="C53" s="663" t="s">
        <v>1599</v>
      </c>
      <c r="D53" s="664"/>
      <c r="E53" s="664"/>
      <c r="F53" s="664"/>
      <c r="G53" s="664"/>
      <c r="H53" s="664"/>
      <c r="I53" s="664"/>
      <c r="J53" s="664"/>
      <c r="K53" s="664"/>
      <c r="L53" s="729">
        <v>0</v>
      </c>
      <c r="M53" s="659"/>
      <c r="N53" s="659"/>
    </row>
    <row r="54" spans="1:15" s="659" customFormat="1" ht="12" customHeight="1" thickTop="1">
      <c r="A54" s="659">
        <v>58</v>
      </c>
      <c r="B54" s="730" t="s">
        <v>420</v>
      </c>
      <c r="C54" s="731" t="s">
        <v>1600</v>
      </c>
      <c r="D54" s="732"/>
      <c r="E54" s="732"/>
      <c r="F54" s="732"/>
      <c r="G54" s="732"/>
      <c r="H54" s="732"/>
      <c r="I54" s="732"/>
      <c r="J54" s="732"/>
      <c r="K54" s="732"/>
      <c r="L54" s="733">
        <f>L51-L52-L53</f>
        <v>6446.4000000000015</v>
      </c>
      <c r="M54" s="645"/>
      <c r="N54" s="645"/>
      <c r="O54" s="645"/>
    </row>
    <row r="55" spans="1:15" ht="12" customHeight="1">
      <c r="A55" s="645">
        <v>59</v>
      </c>
      <c r="B55" s="734"/>
      <c r="C55" s="735" t="s">
        <v>1601</v>
      </c>
      <c r="D55" s="664"/>
      <c r="E55" s="664"/>
      <c r="F55" s="664"/>
      <c r="G55" s="664"/>
      <c r="H55" s="664"/>
      <c r="I55" s="689"/>
      <c r="J55" s="689"/>
      <c r="K55" s="664"/>
      <c r="L55" s="736"/>
      <c r="O55" s="659"/>
    </row>
    <row r="56" spans="1:15" ht="12" customHeight="1">
      <c r="B56" s="737"/>
      <c r="C56" s="664"/>
      <c r="D56" s="664"/>
      <c r="E56" s="664"/>
      <c r="F56" s="664"/>
      <c r="G56" s="664"/>
      <c r="H56" s="664"/>
      <c r="I56" s="668"/>
      <c r="J56" s="664"/>
      <c r="K56" s="738"/>
      <c r="L56" s="681"/>
      <c r="M56" s="659"/>
      <c r="N56" s="659"/>
    </row>
    <row r="57" spans="1:15" ht="12" customHeight="1">
      <c r="B57" s="737"/>
      <c r="C57" s="664"/>
      <c r="D57" s="664"/>
      <c r="E57" s="664"/>
      <c r="F57" s="664"/>
      <c r="G57" s="664"/>
      <c r="H57" s="664"/>
      <c r="I57" s="668"/>
      <c r="J57" s="668"/>
      <c r="K57" s="738"/>
      <c r="L57" s="654"/>
    </row>
    <row r="58" spans="1:15" ht="12" customHeight="1">
      <c r="B58" s="737"/>
      <c r="C58" s="739"/>
      <c r="D58" s="664"/>
      <c r="E58" s="664"/>
      <c r="F58" s="664"/>
      <c r="G58" s="664"/>
      <c r="H58" s="664"/>
      <c r="I58" s="668"/>
      <c r="J58" s="668"/>
      <c r="K58" s="738"/>
      <c r="L58" s="654">
        <f>K58*I58</f>
        <v>0</v>
      </c>
    </row>
    <row r="59" spans="1:15" ht="12" customHeight="1">
      <c r="B59" s="737"/>
      <c r="C59" s="739"/>
      <c r="D59" s="664"/>
      <c r="E59" s="664"/>
      <c r="F59" s="664"/>
      <c r="G59" s="664"/>
      <c r="H59" s="664"/>
      <c r="I59" s="668"/>
      <c r="J59" s="668"/>
      <c r="K59" s="738"/>
      <c r="L59" s="673">
        <f>K59*I59</f>
        <v>0</v>
      </c>
      <c r="M59" s="740"/>
    </row>
    <row r="60" spans="1:15" ht="12" customHeight="1">
      <c r="B60" s="737"/>
      <c r="C60" s="676"/>
      <c r="D60" s="664"/>
      <c r="E60" s="664"/>
      <c r="F60" s="664"/>
      <c r="G60" s="664"/>
      <c r="H60" s="664"/>
      <c r="I60" s="668"/>
      <c r="J60" s="668"/>
      <c r="K60" s="668"/>
      <c r="L60" s="741">
        <f>SUM(L56:L59)</f>
        <v>0</v>
      </c>
      <c r="M60" s="740"/>
      <c r="N60" s="669"/>
    </row>
    <row r="61" spans="1:15" ht="13.5" thickBot="1">
      <c r="C61" s="743" t="s">
        <v>1602</v>
      </c>
      <c r="D61" s="744"/>
      <c r="E61" s="744"/>
      <c r="F61" s="744"/>
      <c r="G61" s="744"/>
      <c r="H61" s="744"/>
      <c r="I61" s="744"/>
      <c r="J61" s="744"/>
      <c r="L61" s="745">
        <f>L54-L60</f>
        <v>6446.4000000000015</v>
      </c>
      <c r="M61" s="740"/>
      <c r="N61" s="742"/>
      <c r="O61" s="669"/>
    </row>
    <row r="62" spans="1:15" ht="15" thickTop="1">
      <c r="C62" s="743" t="s">
        <v>1603</v>
      </c>
      <c r="D62" s="746"/>
      <c r="E62" s="746"/>
      <c r="F62" s="747"/>
      <c r="G62" s="744"/>
      <c r="H62" s="744"/>
      <c r="I62" s="744"/>
      <c r="J62" s="744"/>
      <c r="L62" s="748">
        <f>ROUND(L61/P6,0)</f>
        <v>537</v>
      </c>
      <c r="M62" s="740"/>
      <c r="N62" s="669"/>
      <c r="O62" s="742"/>
    </row>
    <row r="63" spans="1:15">
      <c r="B63" s="646"/>
      <c r="N63" s="670"/>
    </row>
    <row r="64" spans="1:15">
      <c r="B64" s="646"/>
    </row>
    <row r="65" spans="2:12">
      <c r="B65" s="646"/>
    </row>
    <row r="66" spans="2:12">
      <c r="B66" s="646"/>
      <c r="L66" s="658"/>
    </row>
    <row r="67" spans="2:12">
      <c r="B67" s="646"/>
      <c r="C67" s="749"/>
      <c r="I67" s="726"/>
      <c r="J67" s="726"/>
      <c r="K67" s="750"/>
    </row>
    <row r="68" spans="2:12">
      <c r="B68" s="646"/>
      <c r="I68" s="726"/>
      <c r="J68" s="726"/>
      <c r="L68" s="669"/>
    </row>
    <row r="69" spans="2:12">
      <c r="B69" s="646"/>
      <c r="C69" s="751"/>
      <c r="I69" s="726"/>
      <c r="J69" s="726"/>
      <c r="K69" s="752"/>
      <c r="L69" s="752"/>
    </row>
    <row r="70" spans="2:12">
      <c r="B70" s="646"/>
      <c r="C70" s="753"/>
      <c r="I70" s="726"/>
      <c r="J70" s="726"/>
      <c r="K70" s="752"/>
      <c r="L70" s="752"/>
    </row>
    <row r="71" spans="2:12" ht="15.75">
      <c r="B71" s="646"/>
      <c r="C71" s="751"/>
      <c r="I71" s="726"/>
      <c r="J71" s="726"/>
      <c r="L71" s="754"/>
    </row>
    <row r="72" spans="2:12">
      <c r="B72" s="646"/>
      <c r="D72" s="659"/>
      <c r="E72" s="659"/>
      <c r="F72" s="659"/>
      <c r="G72" s="659"/>
      <c r="H72" s="659"/>
      <c r="L72" s="750"/>
    </row>
    <row r="73" spans="2:12">
      <c r="B73" s="646"/>
      <c r="C73" s="753"/>
    </row>
    <row r="74" spans="2:12" ht="15.75">
      <c r="B74" s="646"/>
      <c r="I74" s="755"/>
      <c r="J74" s="755"/>
    </row>
  </sheetData>
  <mergeCells count="5">
    <mergeCell ref="B1:L1"/>
    <mergeCell ref="B2:L2"/>
    <mergeCell ref="B4:C4"/>
    <mergeCell ref="B5:C5"/>
    <mergeCell ref="B6:C6"/>
  </mergeCells>
  <dataValidations count="1">
    <dataValidation type="list" allowBlank="1" showInputMessage="1" showErrorMessage="1" sqref="K8" xr:uid="{00000000-0002-0000-1300-000000000000}">
      <formula1>$D$30:$E$30</formula1>
    </dataValidation>
  </dataValidations>
  <pageMargins left="0" right="0" top="0.5" bottom="0.4" header="0.5" footer="0.5"/>
  <pageSetup paperSize="9" scale="95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tabColor rgb="FFC00000"/>
  </sheetPr>
  <dimension ref="A1:R151"/>
  <sheetViews>
    <sheetView showGridLines="0" view="pageBreakPreview" zoomScale="80" zoomScaleNormal="100" zoomScaleSheetLayoutView="80" workbookViewId="0">
      <selection activeCell="O12" sqref="O12"/>
    </sheetView>
  </sheetViews>
  <sheetFormatPr defaultColWidth="9.140625" defaultRowHeight="15"/>
  <cols>
    <col min="1" max="1" width="3.85546875" style="397" bestFit="1" customWidth="1"/>
    <col min="2" max="2" width="16.28515625" style="397" customWidth="1"/>
    <col min="3" max="3" width="30.5703125" style="872" customWidth="1"/>
    <col min="4" max="4" width="26.7109375" style="872" customWidth="1"/>
    <col min="5" max="5" width="18" style="397" customWidth="1"/>
    <col min="6" max="6" width="17.85546875" style="397" customWidth="1"/>
    <col min="7" max="7" width="17.7109375" style="873" bestFit="1" customWidth="1"/>
    <col min="8" max="8" width="21.7109375" style="397" customWidth="1"/>
    <col min="9" max="9" width="19" style="397" customWidth="1"/>
    <col min="10" max="10" width="13.85546875" style="956" customWidth="1"/>
    <col min="11" max="11" width="16.28515625" style="872" customWidth="1"/>
    <col min="12" max="12" width="20" style="872" customWidth="1"/>
    <col min="13" max="13" width="17" style="397" customWidth="1"/>
    <col min="14" max="14" width="14.28515625" style="397" customWidth="1"/>
    <col min="15" max="15" width="25.7109375" style="397" bestFit="1" customWidth="1"/>
    <col min="16" max="16" width="11.42578125" style="855" bestFit="1" customWidth="1"/>
    <col min="17" max="17" width="10" style="397" bestFit="1" customWidth="1"/>
    <col min="18" max="16384" width="9.140625" style="397"/>
  </cols>
  <sheetData>
    <row r="1" spans="1:16" ht="28.5" customHeight="1">
      <c r="A1" s="1221" t="s">
        <v>878</v>
      </c>
      <c r="B1" s="1222"/>
      <c r="C1" s="1222"/>
      <c r="D1" s="1222"/>
      <c r="E1" s="1222"/>
      <c r="F1" s="1222"/>
      <c r="G1" s="1222"/>
      <c r="H1" s="1222"/>
      <c r="I1" s="1222"/>
      <c r="J1" s="1222"/>
      <c r="K1" s="1222"/>
      <c r="L1" s="1222"/>
      <c r="M1" s="1222"/>
      <c r="N1" s="400"/>
    </row>
    <row r="2" spans="1:16">
      <c r="A2" s="1220" t="s">
        <v>1641</v>
      </c>
      <c r="B2" s="1220"/>
      <c r="C2" s="1220"/>
      <c r="D2" s="1220"/>
      <c r="E2" s="1220"/>
      <c r="F2" s="1220"/>
      <c r="G2" s="1220"/>
      <c r="H2" s="1220"/>
      <c r="I2" s="1220"/>
      <c r="J2" s="1220"/>
      <c r="K2" s="1220"/>
      <c r="L2" s="1220"/>
      <c r="M2" s="1220"/>
      <c r="N2" s="866"/>
    </row>
    <row r="3" spans="1:16">
      <c r="A3" s="1220" t="s">
        <v>1836</v>
      </c>
      <c r="B3" s="1220"/>
      <c r="C3" s="1220"/>
      <c r="D3" s="1220"/>
      <c r="E3" s="1220"/>
      <c r="F3" s="1220"/>
      <c r="G3" s="1220"/>
      <c r="H3" s="1220"/>
      <c r="I3" s="1220"/>
      <c r="J3" s="1220"/>
      <c r="K3" s="1220"/>
      <c r="L3" s="1220"/>
      <c r="M3" s="1220"/>
      <c r="N3" s="866"/>
    </row>
    <row r="4" spans="1:16">
      <c r="A4" s="869"/>
      <c r="B4" s="869"/>
      <c r="C4" s="869"/>
      <c r="D4" s="869"/>
      <c r="E4" s="869"/>
      <c r="F4" s="869"/>
      <c r="G4" s="869"/>
      <c r="H4" s="869"/>
      <c r="I4" s="869"/>
      <c r="J4" s="944"/>
      <c r="K4" s="869"/>
      <c r="L4" s="869"/>
      <c r="M4" s="869"/>
      <c r="N4" s="400"/>
    </row>
    <row r="5" spans="1:16" s="851" customFormat="1" ht="39" customHeight="1">
      <c r="A5" s="995" t="s">
        <v>575</v>
      </c>
      <c r="B5" s="995" t="s">
        <v>576</v>
      </c>
      <c r="C5" s="995" t="s">
        <v>402</v>
      </c>
      <c r="D5" s="995" t="s">
        <v>32</v>
      </c>
      <c r="E5" s="995" t="s">
        <v>503</v>
      </c>
      <c r="F5" s="995" t="s">
        <v>972</v>
      </c>
      <c r="G5" s="996" t="s">
        <v>973</v>
      </c>
      <c r="H5" s="995" t="s">
        <v>974</v>
      </c>
      <c r="I5" s="995" t="s">
        <v>975</v>
      </c>
      <c r="J5" s="997" t="s">
        <v>976</v>
      </c>
      <c r="K5" s="995" t="s">
        <v>977</v>
      </c>
      <c r="L5" s="995" t="s">
        <v>978</v>
      </c>
      <c r="M5" s="995" t="s">
        <v>509</v>
      </c>
      <c r="N5" s="866"/>
      <c r="P5" s="852"/>
    </row>
    <row r="6" spans="1:16" s="851" customFormat="1" ht="19.5" customHeight="1">
      <c r="A6" s="858" t="s">
        <v>1887</v>
      </c>
      <c r="B6" s="853"/>
      <c r="C6" s="868"/>
      <c r="D6" s="853"/>
      <c r="E6" s="853"/>
      <c r="F6" s="853"/>
      <c r="G6" s="853"/>
      <c r="H6" s="853"/>
      <c r="I6" s="853"/>
      <c r="J6" s="853"/>
      <c r="K6" s="853"/>
      <c r="L6" s="853"/>
      <c r="M6" s="853"/>
      <c r="P6" s="852"/>
    </row>
    <row r="7" spans="1:16" ht="21.95" customHeight="1">
      <c r="A7" s="874">
        <v>1</v>
      </c>
      <c r="B7" s="875" t="s">
        <v>101</v>
      </c>
      <c r="C7" s="876" t="s">
        <v>102</v>
      </c>
      <c r="D7" s="876" t="s">
        <v>435</v>
      </c>
      <c r="E7" s="876" t="s">
        <v>97</v>
      </c>
      <c r="F7" s="876" t="s">
        <v>1022</v>
      </c>
      <c r="G7" s="876" t="s">
        <v>1476</v>
      </c>
      <c r="H7" s="876" t="s">
        <v>1477</v>
      </c>
      <c r="I7" s="877"/>
      <c r="J7" s="945">
        <v>842</v>
      </c>
      <c r="K7" s="878"/>
      <c r="L7" s="878"/>
      <c r="M7" s="879"/>
      <c r="O7" s="855"/>
      <c r="P7" s="398"/>
    </row>
    <row r="8" spans="1:16" ht="21.95" customHeight="1">
      <c r="A8" s="880">
        <v>2</v>
      </c>
      <c r="B8" s="881" t="s">
        <v>110</v>
      </c>
      <c r="C8" s="882" t="s">
        <v>443</v>
      </c>
      <c r="D8" s="882" t="s">
        <v>444</v>
      </c>
      <c r="E8" s="882" t="s">
        <v>97</v>
      </c>
      <c r="F8" s="882" t="s">
        <v>1478</v>
      </c>
      <c r="G8" s="882" t="s">
        <v>1479</v>
      </c>
      <c r="H8" s="882" t="s">
        <v>1477</v>
      </c>
      <c r="I8" s="883"/>
      <c r="J8" s="946">
        <v>842</v>
      </c>
      <c r="K8" s="884"/>
      <c r="L8" s="884"/>
      <c r="M8" s="885"/>
      <c r="O8" s="855"/>
      <c r="P8" s="398"/>
    </row>
    <row r="9" spans="1:16" ht="21.95" customHeight="1">
      <c r="A9" s="880">
        <v>3</v>
      </c>
      <c r="B9" s="881" t="s">
        <v>116</v>
      </c>
      <c r="C9" s="882" t="s">
        <v>462</v>
      </c>
      <c r="D9" s="882" t="s">
        <v>435</v>
      </c>
      <c r="E9" s="882" t="s">
        <v>97</v>
      </c>
      <c r="F9" s="882" t="s">
        <v>1026</v>
      </c>
      <c r="G9" s="882" t="s">
        <v>1480</v>
      </c>
      <c r="H9" s="882" t="s">
        <v>1477</v>
      </c>
      <c r="I9" s="883"/>
      <c r="J9" s="946">
        <v>842</v>
      </c>
      <c r="K9" s="884"/>
      <c r="L9" s="884"/>
      <c r="M9" s="885"/>
      <c r="O9" s="855"/>
      <c r="P9" s="398"/>
    </row>
    <row r="10" spans="1:16" s="856" customFormat="1" ht="21.95" customHeight="1">
      <c r="A10" s="880">
        <v>4</v>
      </c>
      <c r="B10" s="886" t="s">
        <v>920</v>
      </c>
      <c r="C10" s="887" t="s">
        <v>921</v>
      </c>
      <c r="D10" s="887" t="s">
        <v>439</v>
      </c>
      <c r="E10" s="887" t="s">
        <v>97</v>
      </c>
      <c r="F10" s="887" t="s">
        <v>1052</v>
      </c>
      <c r="G10" s="887" t="s">
        <v>1481</v>
      </c>
      <c r="H10" s="887" t="s">
        <v>1477</v>
      </c>
      <c r="I10" s="886"/>
      <c r="J10" s="947">
        <v>842</v>
      </c>
      <c r="K10" s="884" t="s">
        <v>1052</v>
      </c>
      <c r="L10" s="884" t="s">
        <v>1631</v>
      </c>
      <c r="M10" s="885"/>
      <c r="O10" s="855"/>
      <c r="P10" s="398"/>
    </row>
    <row r="11" spans="1:16" s="856" customFormat="1" ht="21.95" customHeight="1">
      <c r="A11" s="880">
        <v>5</v>
      </c>
      <c r="B11" s="883" t="s">
        <v>126</v>
      </c>
      <c r="C11" s="882" t="s">
        <v>127</v>
      </c>
      <c r="D11" s="882" t="s">
        <v>439</v>
      </c>
      <c r="E11" s="882" t="s">
        <v>97</v>
      </c>
      <c r="F11" s="882" t="s">
        <v>1482</v>
      </c>
      <c r="G11" s="882" t="s">
        <v>1483</v>
      </c>
      <c r="H11" s="882" t="s">
        <v>1477</v>
      </c>
      <c r="I11" s="883" t="s">
        <v>1484</v>
      </c>
      <c r="J11" s="946">
        <v>842</v>
      </c>
      <c r="K11" s="884" t="s">
        <v>996</v>
      </c>
      <c r="L11" s="884"/>
      <c r="M11" s="885"/>
      <c r="O11" s="855"/>
      <c r="P11" s="398"/>
    </row>
    <row r="12" spans="1:16" s="856" customFormat="1" ht="21.95" customHeight="1">
      <c r="A12" s="880">
        <v>6</v>
      </c>
      <c r="B12" s="883" t="s">
        <v>123</v>
      </c>
      <c r="C12" s="882" t="s">
        <v>1485</v>
      </c>
      <c r="D12" s="882" t="s">
        <v>439</v>
      </c>
      <c r="E12" s="882" t="s">
        <v>97</v>
      </c>
      <c r="F12" s="882" t="s">
        <v>1486</v>
      </c>
      <c r="G12" s="882" t="s">
        <v>1487</v>
      </c>
      <c r="H12" s="882" t="s">
        <v>1477</v>
      </c>
      <c r="I12" s="883"/>
      <c r="J12" s="946">
        <v>842</v>
      </c>
      <c r="K12" s="884"/>
      <c r="L12" s="884"/>
      <c r="M12" s="885"/>
      <c r="O12" s="855"/>
      <c r="P12" s="398"/>
    </row>
    <row r="13" spans="1:16" s="972" customFormat="1" ht="21.95" customHeight="1">
      <c r="A13" s="981">
        <v>7</v>
      </c>
      <c r="B13" s="982" t="s">
        <v>1460</v>
      </c>
      <c r="C13" s="983" t="s">
        <v>1310</v>
      </c>
      <c r="D13" s="983" t="s">
        <v>435</v>
      </c>
      <c r="E13" s="974" t="s">
        <v>1038</v>
      </c>
      <c r="F13" s="974" t="s">
        <v>1402</v>
      </c>
      <c r="G13" s="974" t="s">
        <v>1889</v>
      </c>
      <c r="H13" s="974" t="s">
        <v>1477</v>
      </c>
      <c r="I13" s="973"/>
      <c r="J13" s="966">
        <v>0</v>
      </c>
      <c r="K13" s="962"/>
      <c r="L13" s="962" t="s">
        <v>1877</v>
      </c>
      <c r="M13" s="962" t="s">
        <v>1892</v>
      </c>
      <c r="N13" s="984"/>
      <c r="O13" s="855"/>
      <c r="P13" s="398"/>
    </row>
    <row r="14" spans="1:16" ht="21.95" customHeight="1">
      <c r="A14" s="880">
        <v>8</v>
      </c>
      <c r="B14" s="881" t="s">
        <v>1798</v>
      </c>
      <c r="C14" s="882" t="s">
        <v>1799</v>
      </c>
      <c r="D14" s="882" t="s">
        <v>435</v>
      </c>
      <c r="E14" s="882" t="s">
        <v>97</v>
      </c>
      <c r="F14" s="882" t="s">
        <v>1010</v>
      </c>
      <c r="G14" s="882" t="s">
        <v>1488</v>
      </c>
      <c r="H14" s="882" t="s">
        <v>1477</v>
      </c>
      <c r="I14" s="883"/>
      <c r="J14" s="946">
        <v>842</v>
      </c>
      <c r="K14" s="884"/>
      <c r="L14" s="884"/>
      <c r="M14" s="885"/>
      <c r="O14" s="855"/>
      <c r="P14" s="398"/>
    </row>
    <row r="15" spans="1:16" ht="21.95" customHeight="1">
      <c r="A15" s="880">
        <v>9</v>
      </c>
      <c r="B15" s="881" t="s">
        <v>154</v>
      </c>
      <c r="C15" s="882" t="s">
        <v>155</v>
      </c>
      <c r="D15" s="882" t="s">
        <v>435</v>
      </c>
      <c r="E15" s="882" t="s">
        <v>97</v>
      </c>
      <c r="F15" s="882" t="s">
        <v>1052</v>
      </c>
      <c r="G15" s="882" t="s">
        <v>1489</v>
      </c>
      <c r="H15" s="882" t="s">
        <v>1477</v>
      </c>
      <c r="I15" s="883"/>
      <c r="J15" s="946">
        <v>842</v>
      </c>
      <c r="K15" s="884"/>
      <c r="L15" s="884"/>
      <c r="M15" s="885"/>
      <c r="O15" s="855"/>
      <c r="P15" s="398"/>
    </row>
    <row r="16" spans="1:16" ht="21.95" customHeight="1">
      <c r="A16" s="880">
        <v>10</v>
      </c>
      <c r="B16" s="881" t="s">
        <v>157</v>
      </c>
      <c r="C16" s="882" t="s">
        <v>1490</v>
      </c>
      <c r="D16" s="882" t="s">
        <v>439</v>
      </c>
      <c r="E16" s="882" t="s">
        <v>97</v>
      </c>
      <c r="F16" s="882" t="s">
        <v>996</v>
      </c>
      <c r="G16" s="882" t="s">
        <v>1491</v>
      </c>
      <c r="H16" s="882" t="s">
        <v>1477</v>
      </c>
      <c r="I16" s="883" t="s">
        <v>1492</v>
      </c>
      <c r="J16" s="946">
        <v>842</v>
      </c>
      <c r="K16" s="884" t="s">
        <v>996</v>
      </c>
      <c r="L16" s="884"/>
      <c r="M16" s="885"/>
      <c r="O16" s="855"/>
      <c r="P16" s="398"/>
    </row>
    <row r="17" spans="1:16" s="856" customFormat="1" ht="21.95" customHeight="1">
      <c r="A17" s="880">
        <v>11</v>
      </c>
      <c r="B17" s="883" t="s">
        <v>160</v>
      </c>
      <c r="C17" s="882" t="s">
        <v>161</v>
      </c>
      <c r="D17" s="882" t="s">
        <v>439</v>
      </c>
      <c r="E17" s="882" t="s">
        <v>97</v>
      </c>
      <c r="F17" s="882" t="s">
        <v>1039</v>
      </c>
      <c r="G17" s="882" t="s">
        <v>1493</v>
      </c>
      <c r="H17" s="882" t="s">
        <v>1477</v>
      </c>
      <c r="I17" s="883"/>
      <c r="J17" s="946">
        <v>842</v>
      </c>
      <c r="K17" s="884" t="s">
        <v>1038</v>
      </c>
      <c r="L17" s="884"/>
      <c r="M17" s="885"/>
      <c r="O17" s="855"/>
      <c r="P17" s="398"/>
    </row>
    <row r="18" spans="1:16" s="856" customFormat="1" ht="21.95" customHeight="1">
      <c r="A18" s="880">
        <v>12</v>
      </c>
      <c r="B18" s="883" t="s">
        <v>512</v>
      </c>
      <c r="C18" s="882" t="s">
        <v>513</v>
      </c>
      <c r="D18" s="882" t="s">
        <v>435</v>
      </c>
      <c r="E18" s="882" t="s">
        <v>97</v>
      </c>
      <c r="F18" s="882" t="s">
        <v>994</v>
      </c>
      <c r="G18" s="882" t="s">
        <v>1494</v>
      </c>
      <c r="H18" s="882" t="s">
        <v>1477</v>
      </c>
      <c r="I18" s="883"/>
      <c r="J18" s="946">
        <v>842</v>
      </c>
      <c r="K18" s="884" t="s">
        <v>996</v>
      </c>
      <c r="L18" s="884"/>
      <c r="M18" s="885"/>
      <c r="O18" s="855"/>
      <c r="P18" s="398"/>
    </row>
    <row r="19" spans="1:16" s="856" customFormat="1" ht="21.95" customHeight="1">
      <c r="A19" s="880">
        <v>13</v>
      </c>
      <c r="B19" s="883" t="s">
        <v>163</v>
      </c>
      <c r="C19" s="882" t="s">
        <v>164</v>
      </c>
      <c r="D19" s="882" t="s">
        <v>479</v>
      </c>
      <c r="E19" s="882" t="s">
        <v>97</v>
      </c>
      <c r="F19" s="882" t="s">
        <v>982</v>
      </c>
      <c r="G19" s="882" t="s">
        <v>1495</v>
      </c>
      <c r="H19" s="888" t="s">
        <v>1477</v>
      </c>
      <c r="I19" s="889"/>
      <c r="J19" s="946">
        <v>1058</v>
      </c>
      <c r="K19" s="884" t="s">
        <v>982</v>
      </c>
      <c r="L19" s="884"/>
      <c r="M19" s="885"/>
      <c r="O19" s="855"/>
      <c r="P19" s="398"/>
    </row>
    <row r="20" spans="1:16" s="856" customFormat="1" ht="21.95" customHeight="1">
      <c r="A20" s="880">
        <v>14</v>
      </c>
      <c r="B20" s="883" t="s">
        <v>166</v>
      </c>
      <c r="C20" s="882" t="s">
        <v>167</v>
      </c>
      <c r="D20" s="882" t="s">
        <v>479</v>
      </c>
      <c r="E20" s="882" t="s">
        <v>97</v>
      </c>
      <c r="F20" s="882" t="s">
        <v>1022</v>
      </c>
      <c r="G20" s="882" t="s">
        <v>1496</v>
      </c>
      <c r="H20" s="888" t="s">
        <v>1477</v>
      </c>
      <c r="I20" s="889"/>
      <c r="J20" s="946">
        <v>1058</v>
      </c>
      <c r="K20" s="884" t="s">
        <v>1022</v>
      </c>
      <c r="L20" s="884"/>
      <c r="M20" s="885"/>
      <c r="O20" s="855"/>
      <c r="P20" s="398"/>
    </row>
    <row r="21" spans="1:16" ht="21.95" customHeight="1">
      <c r="A21" s="880">
        <v>15</v>
      </c>
      <c r="B21" s="881" t="s">
        <v>171</v>
      </c>
      <c r="C21" s="882" t="s">
        <v>172</v>
      </c>
      <c r="D21" s="882" t="s">
        <v>439</v>
      </c>
      <c r="E21" s="882" t="s">
        <v>97</v>
      </c>
      <c r="F21" s="882" t="s">
        <v>982</v>
      </c>
      <c r="G21" s="882" t="s">
        <v>1497</v>
      </c>
      <c r="H21" s="882" t="s">
        <v>1477</v>
      </c>
      <c r="I21" s="883"/>
      <c r="J21" s="946">
        <v>842</v>
      </c>
      <c r="K21" s="884"/>
      <c r="L21" s="884"/>
      <c r="M21" s="885"/>
      <c r="O21" s="855"/>
      <c r="P21" s="398"/>
    </row>
    <row r="22" spans="1:16" ht="21.95" customHeight="1">
      <c r="A22" s="880">
        <v>16</v>
      </c>
      <c r="B22" s="881" t="s">
        <v>174</v>
      </c>
      <c r="C22" s="882" t="s">
        <v>175</v>
      </c>
      <c r="D22" s="882" t="s">
        <v>439</v>
      </c>
      <c r="E22" s="882" t="s">
        <v>97</v>
      </c>
      <c r="F22" s="882" t="s">
        <v>983</v>
      </c>
      <c r="G22" s="882" t="s">
        <v>1498</v>
      </c>
      <c r="H22" s="882" t="s">
        <v>1477</v>
      </c>
      <c r="I22" s="883"/>
      <c r="J22" s="946">
        <v>842</v>
      </c>
      <c r="K22" s="884" t="s">
        <v>982</v>
      </c>
      <c r="L22" s="884"/>
      <c r="M22" s="885"/>
      <c r="O22" s="855"/>
      <c r="P22" s="398"/>
    </row>
    <row r="23" spans="1:16" ht="21.95" customHeight="1">
      <c r="A23" s="880">
        <v>17</v>
      </c>
      <c r="B23" s="881" t="s">
        <v>187</v>
      </c>
      <c r="C23" s="882" t="s">
        <v>188</v>
      </c>
      <c r="D23" s="882" t="s">
        <v>435</v>
      </c>
      <c r="E23" s="882" t="s">
        <v>97</v>
      </c>
      <c r="F23" s="882" t="s">
        <v>996</v>
      </c>
      <c r="G23" s="882" t="s">
        <v>1499</v>
      </c>
      <c r="H23" s="882" t="s">
        <v>1477</v>
      </c>
      <c r="I23" s="883" t="s">
        <v>1500</v>
      </c>
      <c r="J23" s="946">
        <v>842</v>
      </c>
      <c r="K23" s="884" t="s">
        <v>996</v>
      </c>
      <c r="L23" s="884"/>
      <c r="M23" s="885"/>
      <c r="O23" s="855"/>
      <c r="P23" s="398"/>
    </row>
    <row r="24" spans="1:16" s="972" customFormat="1" ht="21.95" customHeight="1">
      <c r="A24" s="981">
        <v>18</v>
      </c>
      <c r="B24" s="985" t="s">
        <v>193</v>
      </c>
      <c r="C24" s="986" t="s">
        <v>194</v>
      </c>
      <c r="D24" s="986" t="s">
        <v>473</v>
      </c>
      <c r="E24" s="986" t="s">
        <v>97</v>
      </c>
      <c r="F24" s="986"/>
      <c r="G24" s="986"/>
      <c r="H24" s="986" t="s">
        <v>1477</v>
      </c>
      <c r="I24" s="985"/>
      <c r="J24" s="966">
        <v>0</v>
      </c>
      <c r="K24" s="962" t="s">
        <v>1022</v>
      </c>
      <c r="L24" s="962" t="s">
        <v>1426</v>
      </c>
      <c r="M24" s="987"/>
      <c r="O24" s="855"/>
      <c r="P24" s="398"/>
    </row>
    <row r="25" spans="1:16" s="972" customFormat="1" ht="21.95" customHeight="1">
      <c r="A25" s="981">
        <v>19</v>
      </c>
      <c r="B25" s="973" t="s">
        <v>195</v>
      </c>
      <c r="C25" s="974" t="s">
        <v>196</v>
      </c>
      <c r="D25" s="974" t="s">
        <v>439</v>
      </c>
      <c r="E25" s="974" t="s">
        <v>97</v>
      </c>
      <c r="F25" s="974" t="s">
        <v>982</v>
      </c>
      <c r="G25" s="974" t="s">
        <v>1501</v>
      </c>
      <c r="H25" s="974" t="s">
        <v>1477</v>
      </c>
      <c r="I25" s="973"/>
      <c r="J25" s="966">
        <v>0</v>
      </c>
      <c r="K25" s="962"/>
      <c r="L25" s="962" t="s">
        <v>1879</v>
      </c>
      <c r="M25" s="987"/>
      <c r="O25" s="855"/>
      <c r="P25" s="398"/>
    </row>
    <row r="26" spans="1:16" s="856" customFormat="1" ht="21.95" customHeight="1">
      <c r="A26" s="880">
        <v>20</v>
      </c>
      <c r="B26" s="883" t="s">
        <v>197</v>
      </c>
      <c r="C26" s="882" t="s">
        <v>198</v>
      </c>
      <c r="D26" s="882" t="s">
        <v>473</v>
      </c>
      <c r="E26" s="882" t="s">
        <v>97</v>
      </c>
      <c r="F26" s="882" t="s">
        <v>1022</v>
      </c>
      <c r="G26" s="882" t="s">
        <v>1502</v>
      </c>
      <c r="H26" s="882" t="s">
        <v>1477</v>
      </c>
      <c r="I26" s="883"/>
      <c r="J26" s="946">
        <v>842</v>
      </c>
      <c r="K26" s="884"/>
      <c r="L26" s="884"/>
      <c r="M26" s="885"/>
      <c r="O26" s="855"/>
      <c r="P26" s="398"/>
    </row>
    <row r="27" spans="1:16" s="856" customFormat="1" ht="21.95" customHeight="1">
      <c r="A27" s="880">
        <v>21</v>
      </c>
      <c r="B27" s="883" t="s">
        <v>1132</v>
      </c>
      <c r="C27" s="882" t="s">
        <v>1133</v>
      </c>
      <c r="D27" s="882" t="s">
        <v>435</v>
      </c>
      <c r="E27" s="882" t="s">
        <v>97</v>
      </c>
      <c r="F27" s="882" t="s">
        <v>982</v>
      </c>
      <c r="G27" s="882" t="s">
        <v>1503</v>
      </c>
      <c r="H27" s="882" t="s">
        <v>1477</v>
      </c>
      <c r="I27" s="883"/>
      <c r="J27" s="946">
        <v>842</v>
      </c>
      <c r="K27" s="884"/>
      <c r="L27" s="884"/>
      <c r="M27" s="885"/>
      <c r="O27" s="855"/>
      <c r="P27" s="398"/>
    </row>
    <row r="28" spans="1:16" ht="21.95" customHeight="1">
      <c r="A28" s="880">
        <v>22</v>
      </c>
      <c r="B28" s="881" t="s">
        <v>548</v>
      </c>
      <c r="C28" s="882" t="s">
        <v>73</v>
      </c>
      <c r="D28" s="882" t="s">
        <v>435</v>
      </c>
      <c r="E28" s="882" t="s">
        <v>97</v>
      </c>
      <c r="F28" s="882" t="s">
        <v>1482</v>
      </c>
      <c r="G28" s="882" t="s">
        <v>1504</v>
      </c>
      <c r="H28" s="882" t="s">
        <v>1477</v>
      </c>
      <c r="I28" s="883" t="s">
        <v>1505</v>
      </c>
      <c r="J28" s="946">
        <v>842</v>
      </c>
      <c r="K28" s="884" t="s">
        <v>996</v>
      </c>
      <c r="L28" s="884"/>
      <c r="M28" s="885"/>
      <c r="O28" s="855"/>
      <c r="P28" s="398"/>
    </row>
    <row r="29" spans="1:16" ht="21.95" customHeight="1">
      <c r="A29" s="880">
        <v>23</v>
      </c>
      <c r="B29" s="881" t="s">
        <v>608</v>
      </c>
      <c r="C29" s="882" t="s">
        <v>609</v>
      </c>
      <c r="D29" s="882" t="s">
        <v>435</v>
      </c>
      <c r="E29" s="882" t="s">
        <v>97</v>
      </c>
      <c r="F29" s="882" t="s">
        <v>996</v>
      </c>
      <c r="G29" s="882" t="s">
        <v>1506</v>
      </c>
      <c r="H29" s="882" t="s">
        <v>1477</v>
      </c>
      <c r="I29" s="883" t="s">
        <v>1507</v>
      </c>
      <c r="J29" s="946">
        <v>842</v>
      </c>
      <c r="K29" s="884" t="s">
        <v>996</v>
      </c>
      <c r="L29" s="884"/>
      <c r="M29" s="885"/>
      <c r="O29" s="855"/>
      <c r="P29" s="398"/>
    </row>
    <row r="30" spans="1:16" ht="21.95" customHeight="1">
      <c r="A30" s="880">
        <v>24</v>
      </c>
      <c r="B30" s="881" t="s">
        <v>1800</v>
      </c>
      <c r="C30" s="882" t="s">
        <v>1801</v>
      </c>
      <c r="D30" s="882" t="s">
        <v>435</v>
      </c>
      <c r="E30" s="882" t="s">
        <v>97</v>
      </c>
      <c r="F30" s="882" t="s">
        <v>1020</v>
      </c>
      <c r="G30" s="882" t="s">
        <v>1508</v>
      </c>
      <c r="H30" s="882" t="s">
        <v>1477</v>
      </c>
      <c r="I30" s="883"/>
      <c r="J30" s="946">
        <v>842</v>
      </c>
      <c r="K30" s="884"/>
      <c r="L30" s="884"/>
      <c r="M30" s="885"/>
      <c r="O30" s="855"/>
      <c r="P30" s="398"/>
    </row>
    <row r="31" spans="1:16" s="856" customFormat="1" ht="21.95" customHeight="1">
      <c r="A31" s="880">
        <v>25</v>
      </c>
      <c r="B31" s="883" t="s">
        <v>1239</v>
      </c>
      <c r="C31" s="882" t="s">
        <v>1240</v>
      </c>
      <c r="D31" s="882" t="s">
        <v>435</v>
      </c>
      <c r="E31" s="882" t="s">
        <v>97</v>
      </c>
      <c r="F31" s="882" t="s">
        <v>996</v>
      </c>
      <c r="G31" s="882" t="s">
        <v>1509</v>
      </c>
      <c r="H31" s="882" t="s">
        <v>1477</v>
      </c>
      <c r="I31" s="883"/>
      <c r="J31" s="946"/>
      <c r="K31" s="884" t="s">
        <v>996</v>
      </c>
      <c r="L31" s="884"/>
      <c r="M31" s="885"/>
      <c r="O31" s="855"/>
      <c r="P31" s="398"/>
    </row>
    <row r="32" spans="1:16" s="856" customFormat="1" ht="21.95" customHeight="1">
      <c r="A32" s="880">
        <v>26</v>
      </c>
      <c r="B32" s="883" t="s">
        <v>211</v>
      </c>
      <c r="C32" s="882" t="s">
        <v>212</v>
      </c>
      <c r="D32" s="882" t="s">
        <v>433</v>
      </c>
      <c r="E32" s="882" t="s">
        <v>203</v>
      </c>
      <c r="F32" s="882" t="s">
        <v>1482</v>
      </c>
      <c r="G32" s="882" t="s">
        <v>1510</v>
      </c>
      <c r="H32" s="882" t="s">
        <v>1880</v>
      </c>
      <c r="I32" s="889" t="s">
        <v>1511</v>
      </c>
      <c r="J32" s="946">
        <v>1058</v>
      </c>
      <c r="K32" s="884" t="s">
        <v>996</v>
      </c>
      <c r="L32" s="884"/>
      <c r="M32" s="885"/>
      <c r="O32" s="855"/>
      <c r="P32" s="398"/>
    </row>
    <row r="33" spans="1:16" s="856" customFormat="1" ht="21.95" customHeight="1">
      <c r="A33" s="880">
        <v>27</v>
      </c>
      <c r="B33" s="883" t="s">
        <v>224</v>
      </c>
      <c r="C33" s="882" t="s">
        <v>225</v>
      </c>
      <c r="D33" s="892" t="s">
        <v>433</v>
      </c>
      <c r="E33" s="882"/>
      <c r="F33" s="882" t="s">
        <v>996</v>
      </c>
      <c r="G33" s="882" t="s">
        <v>1512</v>
      </c>
      <c r="H33" s="882" t="s">
        <v>1880</v>
      </c>
      <c r="I33" s="889" t="s">
        <v>1513</v>
      </c>
      <c r="J33" s="946">
        <v>1058</v>
      </c>
      <c r="K33" s="884" t="s">
        <v>996</v>
      </c>
      <c r="L33" s="884"/>
      <c r="M33" s="885"/>
      <c r="O33" s="855"/>
      <c r="P33" s="398"/>
    </row>
    <row r="34" spans="1:16" s="856" customFormat="1" ht="21.95" customHeight="1">
      <c r="A34" s="880">
        <v>28</v>
      </c>
      <c r="B34" s="883" t="s">
        <v>229</v>
      </c>
      <c r="C34" s="882" t="s">
        <v>230</v>
      </c>
      <c r="D34" s="882" t="s">
        <v>433</v>
      </c>
      <c r="E34" s="882" t="s">
        <v>203</v>
      </c>
      <c r="F34" s="882"/>
      <c r="G34" s="882"/>
      <c r="H34" s="882" t="s">
        <v>1880</v>
      </c>
      <c r="I34" s="889"/>
      <c r="J34" s="946">
        <v>1058</v>
      </c>
      <c r="K34" s="884"/>
      <c r="L34" s="884"/>
      <c r="M34" s="885"/>
      <c r="O34" s="855"/>
      <c r="P34" s="398"/>
    </row>
    <row r="35" spans="1:16" ht="21.95" customHeight="1">
      <c r="A35" s="880">
        <v>29</v>
      </c>
      <c r="B35" s="881" t="s">
        <v>232</v>
      </c>
      <c r="C35" s="882" t="s">
        <v>233</v>
      </c>
      <c r="D35" s="882" t="s">
        <v>433</v>
      </c>
      <c r="E35" s="882" t="s">
        <v>203</v>
      </c>
      <c r="F35" s="882"/>
      <c r="G35" s="882"/>
      <c r="H35" s="882" t="s">
        <v>1880</v>
      </c>
      <c r="I35" s="889"/>
      <c r="J35" s="946">
        <v>1058</v>
      </c>
      <c r="K35" s="884"/>
      <c r="L35" s="884"/>
      <c r="M35" s="885"/>
      <c r="O35" s="855"/>
      <c r="P35" s="398"/>
    </row>
    <row r="36" spans="1:16" ht="21.95" customHeight="1">
      <c r="A36" s="880">
        <v>30</v>
      </c>
      <c r="B36" s="881" t="s">
        <v>244</v>
      </c>
      <c r="C36" s="882" t="s">
        <v>245</v>
      </c>
      <c r="D36" s="882" t="s">
        <v>491</v>
      </c>
      <c r="E36" s="882" t="s">
        <v>203</v>
      </c>
      <c r="F36" s="882"/>
      <c r="G36" s="882"/>
      <c r="H36" s="888" t="s">
        <v>1878</v>
      </c>
      <c r="I36" s="889"/>
      <c r="J36" s="946">
        <v>3118</v>
      </c>
      <c r="K36" s="884"/>
      <c r="L36" s="884"/>
      <c r="M36" s="885"/>
      <c r="O36" s="855"/>
      <c r="P36" s="398"/>
    </row>
    <row r="37" spans="1:16" ht="21.95" customHeight="1">
      <c r="A37" s="880">
        <v>31</v>
      </c>
      <c r="B37" s="881" t="s">
        <v>279</v>
      </c>
      <c r="C37" s="882" t="s">
        <v>280</v>
      </c>
      <c r="D37" s="882" t="s">
        <v>1514</v>
      </c>
      <c r="E37" s="882" t="s">
        <v>203</v>
      </c>
      <c r="F37" s="882" t="s">
        <v>1482</v>
      </c>
      <c r="G37" s="882"/>
      <c r="H37" s="882" t="s">
        <v>1880</v>
      </c>
      <c r="I37" s="889" t="s">
        <v>1515</v>
      </c>
      <c r="J37" s="946">
        <v>1058</v>
      </c>
      <c r="K37" s="884" t="s">
        <v>996</v>
      </c>
      <c r="L37" s="884"/>
      <c r="M37" s="885"/>
      <c r="O37" s="855"/>
      <c r="P37" s="398"/>
    </row>
    <row r="38" spans="1:16" s="856" customFormat="1" ht="21.95" customHeight="1">
      <c r="A38" s="880">
        <v>32</v>
      </c>
      <c r="B38" s="890" t="s">
        <v>550</v>
      </c>
      <c r="C38" s="891" t="s">
        <v>551</v>
      </c>
      <c r="D38" s="891" t="s">
        <v>552</v>
      </c>
      <c r="E38" s="891" t="s">
        <v>203</v>
      </c>
      <c r="F38" s="891" t="s">
        <v>1026</v>
      </c>
      <c r="G38" s="891"/>
      <c r="H38" s="891" t="s">
        <v>1878</v>
      </c>
      <c r="I38" s="890"/>
      <c r="J38" s="948">
        <f>3118*2</f>
        <v>6236</v>
      </c>
      <c r="K38" s="884"/>
      <c r="L38" s="884"/>
      <c r="M38" s="885" t="s">
        <v>1898</v>
      </c>
      <c r="O38" s="855"/>
      <c r="P38" s="398"/>
    </row>
    <row r="39" spans="1:16" s="972" customFormat="1" ht="21.95" customHeight="1">
      <c r="A39" s="981">
        <v>33</v>
      </c>
      <c r="B39" s="973" t="s">
        <v>282</v>
      </c>
      <c r="C39" s="974" t="s">
        <v>283</v>
      </c>
      <c r="D39" s="974" t="s">
        <v>492</v>
      </c>
      <c r="E39" s="974" t="s">
        <v>203</v>
      </c>
      <c r="F39" s="974" t="s">
        <v>1516</v>
      </c>
      <c r="G39" s="974"/>
      <c r="H39" s="974" t="s">
        <v>1477</v>
      </c>
      <c r="I39" s="988" t="s">
        <v>1517</v>
      </c>
      <c r="J39" s="966"/>
      <c r="K39" s="962" t="s">
        <v>996</v>
      </c>
      <c r="L39" s="962" t="s">
        <v>1893</v>
      </c>
      <c r="M39" s="962"/>
      <c r="O39" s="855"/>
      <c r="P39" s="398"/>
    </row>
    <row r="40" spans="1:16" s="972" customFormat="1" ht="21.95" customHeight="1">
      <c r="A40" s="981">
        <v>34</v>
      </c>
      <c r="B40" s="973" t="s">
        <v>290</v>
      </c>
      <c r="C40" s="974" t="s">
        <v>291</v>
      </c>
      <c r="D40" s="974" t="s">
        <v>1518</v>
      </c>
      <c r="E40" s="974" t="s">
        <v>292</v>
      </c>
      <c r="F40" s="974"/>
      <c r="G40" s="974"/>
      <c r="H40" s="974" t="s">
        <v>1880</v>
      </c>
      <c r="I40" s="988"/>
      <c r="J40" s="966"/>
      <c r="K40" s="962"/>
      <c r="L40" s="962" t="s">
        <v>1879</v>
      </c>
      <c r="M40" s="987"/>
      <c r="O40" s="855"/>
      <c r="P40" s="398"/>
    </row>
    <row r="41" spans="1:16" s="856" customFormat="1" ht="21.95" customHeight="1">
      <c r="A41" s="880">
        <v>35</v>
      </c>
      <c r="B41" s="883" t="s">
        <v>514</v>
      </c>
      <c r="C41" s="882" t="s">
        <v>515</v>
      </c>
      <c r="D41" s="882" t="s">
        <v>1065</v>
      </c>
      <c r="E41" s="882" t="s">
        <v>517</v>
      </c>
      <c r="F41" s="882" t="s">
        <v>1519</v>
      </c>
      <c r="G41" s="882"/>
      <c r="H41" s="882" t="s">
        <v>1878</v>
      </c>
      <c r="I41" s="889"/>
      <c r="J41" s="946">
        <v>1667</v>
      </c>
      <c r="K41" s="884" t="s">
        <v>517</v>
      </c>
      <c r="L41" s="884"/>
      <c r="M41" s="885"/>
      <c r="O41" s="855"/>
      <c r="P41" s="398"/>
    </row>
    <row r="42" spans="1:16" ht="21.95" customHeight="1">
      <c r="A42" s="880">
        <v>36</v>
      </c>
      <c r="B42" s="881" t="s">
        <v>520</v>
      </c>
      <c r="C42" s="882" t="s">
        <v>521</v>
      </c>
      <c r="D42" s="882" t="s">
        <v>1066</v>
      </c>
      <c r="E42" s="882" t="s">
        <v>517</v>
      </c>
      <c r="F42" s="882" t="s">
        <v>1519</v>
      </c>
      <c r="G42" s="882"/>
      <c r="H42" s="882" t="s">
        <v>1477</v>
      </c>
      <c r="I42" s="889"/>
      <c r="J42" s="946">
        <v>842</v>
      </c>
      <c r="K42" s="884" t="s">
        <v>517</v>
      </c>
      <c r="L42" s="884"/>
      <c r="M42" s="885"/>
      <c r="O42" s="855"/>
      <c r="P42" s="398"/>
    </row>
    <row r="43" spans="1:16" ht="21.95" customHeight="1">
      <c r="A43" s="880">
        <v>37</v>
      </c>
      <c r="B43" s="881" t="s">
        <v>270</v>
      </c>
      <c r="C43" s="882" t="s">
        <v>271</v>
      </c>
      <c r="D43" s="882" t="s">
        <v>997</v>
      </c>
      <c r="E43" s="882" t="s">
        <v>203</v>
      </c>
      <c r="F43" s="882"/>
      <c r="G43" s="882"/>
      <c r="H43" s="882" t="s">
        <v>1880</v>
      </c>
      <c r="I43" s="889"/>
      <c r="J43" s="946">
        <v>1058</v>
      </c>
      <c r="K43" s="884"/>
      <c r="L43" s="884"/>
      <c r="M43" s="885"/>
      <c r="O43" s="855"/>
      <c r="P43" s="398"/>
    </row>
    <row r="44" spans="1:16" ht="21.95" customHeight="1">
      <c r="A44" s="880">
        <v>38</v>
      </c>
      <c r="B44" s="893" t="s">
        <v>287</v>
      </c>
      <c r="C44" s="887" t="s">
        <v>288</v>
      </c>
      <c r="D44" s="887" t="s">
        <v>433</v>
      </c>
      <c r="E44" s="887" t="s">
        <v>203</v>
      </c>
      <c r="F44" s="887"/>
      <c r="G44" s="887"/>
      <c r="H44" s="882" t="s">
        <v>1880</v>
      </c>
      <c r="I44" s="889"/>
      <c r="J44" s="947">
        <v>1058</v>
      </c>
      <c r="K44" s="884"/>
      <c r="L44" s="884"/>
      <c r="M44" s="885"/>
      <c r="O44" s="855"/>
      <c r="P44" s="398"/>
    </row>
    <row r="45" spans="1:16" s="856" customFormat="1" ht="21.95" customHeight="1">
      <c r="A45" s="880">
        <v>39</v>
      </c>
      <c r="B45" s="883" t="s">
        <v>1069</v>
      </c>
      <c r="C45" s="882" t="s">
        <v>1070</v>
      </c>
      <c r="D45" s="882" t="s">
        <v>433</v>
      </c>
      <c r="E45" s="882" t="s">
        <v>203</v>
      </c>
      <c r="F45" s="882" t="s">
        <v>1520</v>
      </c>
      <c r="G45" s="882"/>
      <c r="H45" s="882" t="s">
        <v>1880</v>
      </c>
      <c r="I45" s="889"/>
      <c r="J45" s="946">
        <f>1058*2</f>
        <v>2116</v>
      </c>
      <c r="K45" s="884" t="s">
        <v>982</v>
      </c>
      <c r="L45" s="884"/>
      <c r="M45" s="885" t="s">
        <v>1898</v>
      </c>
      <c r="O45" s="855"/>
      <c r="P45" s="398"/>
    </row>
    <row r="46" spans="1:16" s="856" customFormat="1" ht="21.95" customHeight="1">
      <c r="A46" s="880">
        <v>40</v>
      </c>
      <c r="B46" s="883" t="s">
        <v>556</v>
      </c>
      <c r="C46" s="882" t="s">
        <v>557</v>
      </c>
      <c r="D46" s="882" t="s">
        <v>445</v>
      </c>
      <c r="E46" s="882" t="s">
        <v>203</v>
      </c>
      <c r="F46" s="882"/>
      <c r="G46" s="882"/>
      <c r="H46" s="882" t="s">
        <v>1477</v>
      </c>
      <c r="I46" s="889"/>
      <c r="J46" s="946">
        <v>842</v>
      </c>
      <c r="K46" s="884" t="s">
        <v>1020</v>
      </c>
      <c r="L46" s="884"/>
      <c r="M46" s="885"/>
      <c r="O46" s="855"/>
      <c r="P46" s="398"/>
    </row>
    <row r="47" spans="1:16" s="972" customFormat="1" ht="21.95" customHeight="1">
      <c r="A47" s="981">
        <v>41</v>
      </c>
      <c r="B47" s="973" t="s">
        <v>1085</v>
      </c>
      <c r="C47" s="974" t="s">
        <v>1086</v>
      </c>
      <c r="D47" s="974" t="s">
        <v>959</v>
      </c>
      <c r="E47" s="974" t="s">
        <v>292</v>
      </c>
      <c r="F47" s="974"/>
      <c r="G47" s="974"/>
      <c r="H47" s="974" t="s">
        <v>1880</v>
      </c>
      <c r="I47" s="988"/>
      <c r="J47" s="966"/>
      <c r="K47" s="962"/>
      <c r="L47" s="962" t="s">
        <v>1894</v>
      </c>
      <c r="M47" s="962"/>
      <c r="O47" s="855"/>
      <c r="P47" s="398"/>
    </row>
    <row r="48" spans="1:16" s="856" customFormat="1" ht="21.95" customHeight="1">
      <c r="A48" s="880">
        <v>42</v>
      </c>
      <c r="B48" s="883" t="s">
        <v>639</v>
      </c>
      <c r="C48" s="882" t="s">
        <v>182</v>
      </c>
      <c r="D48" s="882" t="s">
        <v>445</v>
      </c>
      <c r="E48" s="882" t="s">
        <v>203</v>
      </c>
      <c r="F48" s="882"/>
      <c r="G48" s="882"/>
      <c r="H48" s="882" t="s">
        <v>1880</v>
      </c>
      <c r="I48" s="883"/>
      <c r="J48" s="946">
        <v>1058</v>
      </c>
      <c r="K48" s="884"/>
      <c r="L48" s="884"/>
      <c r="M48" s="885"/>
      <c r="O48" s="855"/>
      <c r="P48" s="398"/>
    </row>
    <row r="49" spans="1:17" ht="21.95" customHeight="1">
      <c r="A49" s="880">
        <v>43</v>
      </c>
      <c r="B49" s="881" t="s">
        <v>1073</v>
      </c>
      <c r="C49" s="882" t="s">
        <v>1074</v>
      </c>
      <c r="D49" s="882" t="s">
        <v>987</v>
      </c>
      <c r="E49" s="882" t="s">
        <v>203</v>
      </c>
      <c r="F49" s="882"/>
      <c r="G49" s="882"/>
      <c r="H49" s="882" t="s">
        <v>1477</v>
      </c>
      <c r="I49" s="883"/>
      <c r="J49" s="946">
        <v>842</v>
      </c>
      <c r="K49" s="884" t="s">
        <v>1038</v>
      </c>
      <c r="L49" s="884"/>
      <c r="M49" s="885"/>
      <c r="O49" s="855"/>
      <c r="P49" s="398"/>
    </row>
    <row r="50" spans="1:17" s="980" customFormat="1" ht="21.95" customHeight="1">
      <c r="A50" s="981">
        <v>44</v>
      </c>
      <c r="B50" s="989" t="s">
        <v>1071</v>
      </c>
      <c r="C50" s="990" t="s">
        <v>1072</v>
      </c>
      <c r="D50" s="990" t="s">
        <v>433</v>
      </c>
      <c r="E50" s="990" t="s">
        <v>203</v>
      </c>
      <c r="F50" s="991"/>
      <c r="G50" s="990"/>
      <c r="H50" s="974" t="s">
        <v>1895</v>
      </c>
      <c r="I50" s="992"/>
      <c r="J50" s="993"/>
      <c r="K50" s="990" t="s">
        <v>982</v>
      </c>
      <c r="L50" s="990" t="s">
        <v>1879</v>
      </c>
      <c r="M50" s="994"/>
      <c r="O50" s="855"/>
      <c r="P50" s="398"/>
    </row>
    <row r="51" spans="1:17" s="851" customFormat="1" ht="21.95" customHeight="1">
      <c r="A51" s="867" t="s">
        <v>67</v>
      </c>
      <c r="B51" s="859"/>
      <c r="C51" s="244"/>
      <c r="D51" s="244"/>
      <c r="E51" s="244"/>
      <c r="F51" s="860"/>
      <c r="G51" s="244"/>
      <c r="H51" s="244"/>
      <c r="I51" s="861"/>
      <c r="J51" s="857">
        <f>SUM(J7:J50)</f>
        <v>42241</v>
      </c>
      <c r="K51" s="854"/>
      <c r="L51" s="854"/>
      <c r="M51" s="854"/>
      <c r="O51" s="855"/>
      <c r="P51" s="398"/>
    </row>
    <row r="52" spans="1:17" ht="21.95" customHeight="1">
      <c r="A52" s="936" t="s">
        <v>1064</v>
      </c>
      <c r="B52" s="937"/>
      <c r="C52" s="939"/>
      <c r="D52" s="937"/>
      <c r="E52" s="937"/>
      <c r="F52" s="937"/>
      <c r="G52" s="937"/>
      <c r="H52" s="937"/>
      <c r="I52" s="937"/>
      <c r="J52" s="937"/>
      <c r="K52" s="937"/>
      <c r="L52" s="937"/>
      <c r="M52" s="938"/>
      <c r="N52" s="851"/>
      <c r="O52" s="855"/>
      <c r="P52" s="398"/>
      <c r="Q52" s="398"/>
    </row>
    <row r="53" spans="1:17" ht="21.95" customHeight="1">
      <c r="A53" s="878">
        <v>1</v>
      </c>
      <c r="B53" s="898" t="s">
        <v>208</v>
      </c>
      <c r="C53" s="899" t="s">
        <v>209</v>
      </c>
      <c r="D53" s="899" t="s">
        <v>979</v>
      </c>
      <c r="E53" s="899" t="s">
        <v>203</v>
      </c>
      <c r="F53" s="900" t="s">
        <v>980</v>
      </c>
      <c r="G53" s="899" t="s">
        <v>981</v>
      </c>
      <c r="H53" s="899" t="s">
        <v>1521</v>
      </c>
      <c r="I53" s="901"/>
      <c r="J53" s="949">
        <v>2160</v>
      </c>
      <c r="K53" s="902" t="s">
        <v>982</v>
      </c>
      <c r="L53" s="899"/>
      <c r="M53" s="899"/>
      <c r="O53" s="855"/>
      <c r="P53" s="398"/>
    </row>
    <row r="54" spans="1:17" ht="21.95" customHeight="1">
      <c r="A54" s="884">
        <v>2</v>
      </c>
      <c r="B54" s="903" t="s">
        <v>854</v>
      </c>
      <c r="C54" s="904" t="s">
        <v>1802</v>
      </c>
      <c r="D54" s="904" t="s">
        <v>452</v>
      </c>
      <c r="E54" s="904" t="s">
        <v>517</v>
      </c>
      <c r="F54" s="905" t="s">
        <v>988</v>
      </c>
      <c r="G54" s="904" t="s">
        <v>1890</v>
      </c>
      <c r="H54" s="904" t="s">
        <v>1521</v>
      </c>
      <c r="I54" s="906" t="s">
        <v>984</v>
      </c>
      <c r="J54" s="950">
        <v>2160</v>
      </c>
      <c r="K54" s="907" t="s">
        <v>982</v>
      </c>
      <c r="L54" s="904"/>
      <c r="M54" s="904"/>
      <c r="O54" s="855"/>
      <c r="P54" s="398"/>
    </row>
    <row r="55" spans="1:17" s="968" customFormat="1" ht="21.95" customHeight="1">
      <c r="A55" s="962">
        <v>3</v>
      </c>
      <c r="B55" s="963" t="s">
        <v>1223</v>
      </c>
      <c r="C55" s="962" t="s">
        <v>1224</v>
      </c>
      <c r="D55" s="962" t="s">
        <v>445</v>
      </c>
      <c r="E55" s="962" t="s">
        <v>1185</v>
      </c>
      <c r="F55" s="964" t="s">
        <v>1631</v>
      </c>
      <c r="G55" s="962" t="s">
        <v>1881</v>
      </c>
      <c r="H55" s="962" t="s">
        <v>1521</v>
      </c>
      <c r="I55" s="965" t="s">
        <v>986</v>
      </c>
      <c r="J55" s="966"/>
      <c r="K55" s="967" t="s">
        <v>1052</v>
      </c>
      <c r="L55" s="962" t="s">
        <v>1631</v>
      </c>
      <c r="M55" s="962" t="s">
        <v>1888</v>
      </c>
      <c r="O55" s="855"/>
      <c r="P55" s="398"/>
    </row>
    <row r="56" spans="1:17" ht="21.95" customHeight="1">
      <c r="A56" s="884">
        <v>4</v>
      </c>
      <c r="B56" s="903" t="s">
        <v>1300</v>
      </c>
      <c r="C56" s="904" t="s">
        <v>1301</v>
      </c>
      <c r="D56" s="904" t="s">
        <v>433</v>
      </c>
      <c r="E56" s="904" t="s">
        <v>1185</v>
      </c>
      <c r="F56" s="905" t="s">
        <v>985</v>
      </c>
      <c r="G56" s="904" t="s">
        <v>1882</v>
      </c>
      <c r="H56" s="904" t="s">
        <v>1521</v>
      </c>
      <c r="I56" s="906"/>
      <c r="J56" s="950">
        <v>2160</v>
      </c>
      <c r="K56" s="907" t="s">
        <v>1052</v>
      </c>
      <c r="L56" s="904"/>
      <c r="M56" s="904"/>
      <c r="O56" s="855"/>
      <c r="P56" s="398"/>
    </row>
    <row r="57" spans="1:17" s="856" customFormat="1" ht="21.95" customHeight="1">
      <c r="A57" s="884">
        <v>5</v>
      </c>
      <c r="B57" s="908" t="s">
        <v>562</v>
      </c>
      <c r="C57" s="904" t="s">
        <v>563</v>
      </c>
      <c r="D57" s="904" t="s">
        <v>564</v>
      </c>
      <c r="E57" s="907" t="s">
        <v>97</v>
      </c>
      <c r="F57" s="905" t="s">
        <v>980</v>
      </c>
      <c r="G57" s="904" t="s">
        <v>989</v>
      </c>
      <c r="H57" s="904" t="s">
        <v>1521</v>
      </c>
      <c r="I57" s="906"/>
      <c r="J57" s="950">
        <v>2160</v>
      </c>
      <c r="K57" s="909" t="s">
        <v>982</v>
      </c>
      <c r="L57" s="904"/>
      <c r="M57" s="904"/>
      <c r="N57" s="397"/>
      <c r="O57" s="855"/>
      <c r="P57" s="398"/>
    </row>
    <row r="58" spans="1:17" s="856" customFormat="1" ht="21.95" customHeight="1">
      <c r="A58" s="884">
        <v>6</v>
      </c>
      <c r="B58" s="910" t="s">
        <v>179</v>
      </c>
      <c r="C58" s="904" t="s">
        <v>990</v>
      </c>
      <c r="D58" s="904" t="s">
        <v>435</v>
      </c>
      <c r="E58" s="907" t="s">
        <v>97</v>
      </c>
      <c r="F58" s="905" t="s">
        <v>980</v>
      </c>
      <c r="G58" s="904" t="s">
        <v>991</v>
      </c>
      <c r="H58" s="904" t="s">
        <v>1522</v>
      </c>
      <c r="I58" s="906"/>
      <c r="J58" s="950">
        <v>2000</v>
      </c>
      <c r="K58" s="909" t="s">
        <v>982</v>
      </c>
      <c r="L58" s="904"/>
      <c r="M58" s="904"/>
      <c r="N58" s="397"/>
      <c r="O58" s="855"/>
      <c r="P58" s="398"/>
    </row>
    <row r="59" spans="1:17" s="856" customFormat="1" ht="21.95" customHeight="1">
      <c r="A59" s="884">
        <v>7</v>
      </c>
      <c r="B59" s="908" t="s">
        <v>95</v>
      </c>
      <c r="C59" s="904" t="s">
        <v>434</v>
      </c>
      <c r="D59" s="904" t="s">
        <v>435</v>
      </c>
      <c r="E59" s="907" t="s">
        <v>97</v>
      </c>
      <c r="F59" s="905" t="s">
        <v>980</v>
      </c>
      <c r="G59" s="904" t="s">
        <v>992</v>
      </c>
      <c r="H59" s="904" t="s">
        <v>1522</v>
      </c>
      <c r="I59" s="906"/>
      <c r="J59" s="950">
        <v>2000</v>
      </c>
      <c r="K59" s="909" t="s">
        <v>982</v>
      </c>
      <c r="L59" s="904"/>
      <c r="M59" s="904"/>
      <c r="N59" s="397"/>
      <c r="O59" s="855"/>
      <c r="P59" s="398"/>
    </row>
    <row r="60" spans="1:17" s="856" customFormat="1" ht="21.95" customHeight="1">
      <c r="A60" s="884">
        <v>8</v>
      </c>
      <c r="B60" s="908" t="s">
        <v>615</v>
      </c>
      <c r="C60" s="904" t="s">
        <v>616</v>
      </c>
      <c r="D60" s="904" t="s">
        <v>435</v>
      </c>
      <c r="E60" s="907" t="s">
        <v>97</v>
      </c>
      <c r="F60" s="905" t="s">
        <v>980</v>
      </c>
      <c r="G60" s="904" t="s">
        <v>993</v>
      </c>
      <c r="H60" s="904" t="s">
        <v>1522</v>
      </c>
      <c r="I60" s="906" t="s">
        <v>1883</v>
      </c>
      <c r="J60" s="950">
        <v>2000</v>
      </c>
      <c r="K60" s="909" t="s">
        <v>982</v>
      </c>
      <c r="L60" s="904"/>
      <c r="M60" s="904"/>
      <c r="N60" s="397"/>
      <c r="O60" s="855"/>
      <c r="P60" s="398"/>
    </row>
    <row r="61" spans="1:17" ht="21.95" customHeight="1">
      <c r="A61" s="884">
        <v>9</v>
      </c>
      <c r="B61" s="903" t="s">
        <v>1309</v>
      </c>
      <c r="C61" s="904" t="s">
        <v>1310</v>
      </c>
      <c r="D61" s="907" t="s">
        <v>492</v>
      </c>
      <c r="E61" s="904" t="s">
        <v>1185</v>
      </c>
      <c r="F61" s="905" t="s">
        <v>982</v>
      </c>
      <c r="G61" s="904" t="s">
        <v>1891</v>
      </c>
      <c r="H61" s="904" t="s">
        <v>1521</v>
      </c>
      <c r="I61" s="906"/>
      <c r="J61" s="950">
        <v>2160</v>
      </c>
      <c r="K61" s="907" t="s">
        <v>982</v>
      </c>
      <c r="L61" s="904"/>
      <c r="M61" s="904"/>
      <c r="O61" s="855"/>
      <c r="P61" s="398"/>
    </row>
    <row r="62" spans="1:17" ht="21.95" customHeight="1">
      <c r="A62" s="884">
        <v>10</v>
      </c>
      <c r="B62" s="903" t="s">
        <v>219</v>
      </c>
      <c r="C62" s="904" t="s">
        <v>220</v>
      </c>
      <c r="D62" s="904" t="s">
        <v>494</v>
      </c>
      <c r="E62" s="904" t="s">
        <v>203</v>
      </c>
      <c r="F62" s="905" t="s">
        <v>994</v>
      </c>
      <c r="G62" s="904" t="s">
        <v>995</v>
      </c>
      <c r="H62" s="904" t="s">
        <v>1521</v>
      </c>
      <c r="I62" s="906"/>
      <c r="J62" s="950">
        <v>2160</v>
      </c>
      <c r="K62" s="907" t="s">
        <v>996</v>
      </c>
      <c r="L62" s="904"/>
      <c r="M62" s="904"/>
      <c r="O62" s="855"/>
      <c r="P62" s="398"/>
    </row>
    <row r="63" spans="1:17" ht="21.95" customHeight="1">
      <c r="A63" s="884">
        <v>11</v>
      </c>
      <c r="B63" s="911" t="s">
        <v>227</v>
      </c>
      <c r="C63" s="884" t="s">
        <v>228</v>
      </c>
      <c r="D63" s="884" t="s">
        <v>997</v>
      </c>
      <c r="E63" s="884" t="s">
        <v>203</v>
      </c>
      <c r="F63" s="912" t="s">
        <v>996</v>
      </c>
      <c r="G63" s="884" t="s">
        <v>998</v>
      </c>
      <c r="H63" s="884" t="s">
        <v>1521</v>
      </c>
      <c r="I63" s="913"/>
      <c r="J63" s="946">
        <v>2160</v>
      </c>
      <c r="K63" s="914" t="s">
        <v>996</v>
      </c>
      <c r="L63" s="884" t="s">
        <v>1630</v>
      </c>
      <c r="M63" s="884" t="s">
        <v>1888</v>
      </c>
      <c r="O63" s="855"/>
      <c r="P63" s="398"/>
    </row>
    <row r="64" spans="1:17" ht="21.95" customHeight="1">
      <c r="A64" s="884">
        <v>12</v>
      </c>
      <c r="B64" s="911" t="s">
        <v>205</v>
      </c>
      <c r="C64" s="884" t="s">
        <v>999</v>
      </c>
      <c r="D64" s="884" t="s">
        <v>433</v>
      </c>
      <c r="E64" s="884" t="s">
        <v>203</v>
      </c>
      <c r="F64" s="912" t="s">
        <v>994</v>
      </c>
      <c r="G64" s="884" t="s">
        <v>1000</v>
      </c>
      <c r="H64" s="884" t="s">
        <v>1521</v>
      </c>
      <c r="I64" s="913"/>
      <c r="J64" s="946">
        <v>2160</v>
      </c>
      <c r="K64" s="914" t="s">
        <v>996</v>
      </c>
      <c r="L64" s="884"/>
      <c r="M64" s="884"/>
      <c r="O64" s="855"/>
      <c r="P64" s="398"/>
    </row>
    <row r="65" spans="1:16" s="856" customFormat="1" ht="21.95" customHeight="1">
      <c r="A65" s="884">
        <v>13</v>
      </c>
      <c r="B65" s="915" t="s">
        <v>148</v>
      </c>
      <c r="C65" s="884" t="s">
        <v>149</v>
      </c>
      <c r="D65" s="884" t="s">
        <v>479</v>
      </c>
      <c r="E65" s="914" t="s">
        <v>97</v>
      </c>
      <c r="F65" s="912" t="s">
        <v>996</v>
      </c>
      <c r="G65" s="884" t="s">
        <v>1001</v>
      </c>
      <c r="H65" s="884" t="s">
        <v>1521</v>
      </c>
      <c r="I65" s="913"/>
      <c r="J65" s="946">
        <v>2160</v>
      </c>
      <c r="K65" s="916" t="s">
        <v>996</v>
      </c>
      <c r="L65" s="884"/>
      <c r="M65" s="884"/>
      <c r="N65" s="397"/>
      <c r="O65" s="855"/>
      <c r="P65" s="398"/>
    </row>
    <row r="66" spans="1:16" s="856" customFormat="1" ht="21.95" customHeight="1">
      <c r="A66" s="884">
        <v>14</v>
      </c>
      <c r="B66" s="915" t="s">
        <v>606</v>
      </c>
      <c r="C66" s="884" t="s">
        <v>607</v>
      </c>
      <c r="D66" s="884" t="s">
        <v>435</v>
      </c>
      <c r="E66" s="914" t="s">
        <v>97</v>
      </c>
      <c r="F66" s="912" t="s">
        <v>996</v>
      </c>
      <c r="G66" s="884" t="s">
        <v>1002</v>
      </c>
      <c r="H66" s="884" t="s">
        <v>1522</v>
      </c>
      <c r="I66" s="913"/>
      <c r="J66" s="946">
        <v>2000</v>
      </c>
      <c r="K66" s="916" t="s">
        <v>996</v>
      </c>
      <c r="L66" s="884"/>
      <c r="M66" s="884"/>
      <c r="N66" s="397"/>
      <c r="O66" s="855"/>
      <c r="P66" s="398"/>
    </row>
    <row r="67" spans="1:16" s="856" customFormat="1" ht="21.95" customHeight="1">
      <c r="A67" s="884">
        <v>15</v>
      </c>
      <c r="B67" s="917" t="s">
        <v>613</v>
      </c>
      <c r="C67" s="918" t="s">
        <v>614</v>
      </c>
      <c r="D67" s="884" t="s">
        <v>435</v>
      </c>
      <c r="E67" s="916" t="s">
        <v>97</v>
      </c>
      <c r="F67" s="912" t="s">
        <v>996</v>
      </c>
      <c r="G67" s="884" t="s">
        <v>1003</v>
      </c>
      <c r="H67" s="884" t="s">
        <v>1522</v>
      </c>
      <c r="I67" s="913"/>
      <c r="J67" s="946">
        <v>2000</v>
      </c>
      <c r="K67" s="916" t="s">
        <v>996</v>
      </c>
      <c r="L67" s="884"/>
      <c r="M67" s="884"/>
      <c r="N67" s="397"/>
      <c r="O67" s="855"/>
      <c r="P67" s="398"/>
    </row>
    <row r="68" spans="1:16" s="856" customFormat="1" ht="21.95" customHeight="1">
      <c r="A68" s="884">
        <v>16</v>
      </c>
      <c r="B68" s="915" t="s">
        <v>142</v>
      </c>
      <c r="C68" s="884" t="s">
        <v>143</v>
      </c>
      <c r="D68" s="884" t="s">
        <v>435</v>
      </c>
      <c r="E68" s="914" t="s">
        <v>97</v>
      </c>
      <c r="F68" s="912" t="s">
        <v>996</v>
      </c>
      <c r="G68" s="884" t="s">
        <v>1004</v>
      </c>
      <c r="H68" s="884" t="s">
        <v>1522</v>
      </c>
      <c r="I68" s="913"/>
      <c r="J68" s="946">
        <v>2000</v>
      </c>
      <c r="K68" s="916" t="s">
        <v>996</v>
      </c>
      <c r="L68" s="884"/>
      <c r="M68" s="884"/>
      <c r="N68" s="397"/>
      <c r="O68" s="855"/>
      <c r="P68" s="398"/>
    </row>
    <row r="69" spans="1:16" s="856" customFormat="1" ht="21.95" customHeight="1">
      <c r="A69" s="884">
        <v>17</v>
      </c>
      <c r="B69" s="915" t="s">
        <v>610</v>
      </c>
      <c r="C69" s="884" t="s">
        <v>611</v>
      </c>
      <c r="D69" s="884" t="s">
        <v>435</v>
      </c>
      <c r="E69" s="914" t="s">
        <v>97</v>
      </c>
      <c r="F69" s="912" t="s">
        <v>996</v>
      </c>
      <c r="G69" s="884" t="s">
        <v>1005</v>
      </c>
      <c r="H69" s="884" t="s">
        <v>1522</v>
      </c>
      <c r="I69" s="913"/>
      <c r="J69" s="946">
        <v>2000</v>
      </c>
      <c r="K69" s="916" t="s">
        <v>996</v>
      </c>
      <c r="L69" s="884"/>
      <c r="M69" s="884"/>
      <c r="N69" s="397"/>
      <c r="O69" s="855"/>
      <c r="P69" s="398"/>
    </row>
    <row r="70" spans="1:16" ht="21.95" customHeight="1">
      <c r="A70" s="884">
        <v>18</v>
      </c>
      <c r="B70" s="911" t="s">
        <v>883</v>
      </c>
      <c r="C70" s="884" t="s">
        <v>884</v>
      </c>
      <c r="D70" s="884" t="s">
        <v>885</v>
      </c>
      <c r="E70" s="884" t="s">
        <v>203</v>
      </c>
      <c r="F70" s="912" t="s">
        <v>1006</v>
      </c>
      <c r="G70" s="884" t="s">
        <v>1007</v>
      </c>
      <c r="H70" s="884" t="s">
        <v>1523</v>
      </c>
      <c r="I70" s="913"/>
      <c r="J70" s="946">
        <v>2861</v>
      </c>
      <c r="K70" s="914" t="s">
        <v>1006</v>
      </c>
      <c r="L70" s="884"/>
      <c r="M70" s="884"/>
      <c r="O70" s="855"/>
      <c r="P70" s="398"/>
    </row>
    <row r="71" spans="1:16" ht="21.95" customHeight="1">
      <c r="A71" s="884">
        <v>19</v>
      </c>
      <c r="B71" s="911" t="s">
        <v>952</v>
      </c>
      <c r="C71" s="884" t="s">
        <v>953</v>
      </c>
      <c r="D71" s="884" t="s">
        <v>853</v>
      </c>
      <c r="E71" s="884" t="s">
        <v>203</v>
      </c>
      <c r="F71" s="912" t="s">
        <v>1008</v>
      </c>
      <c r="G71" s="884" t="s">
        <v>1009</v>
      </c>
      <c r="H71" s="884" t="s">
        <v>1521</v>
      </c>
      <c r="I71" s="913"/>
      <c r="J71" s="946">
        <v>2160</v>
      </c>
      <c r="K71" s="914" t="s">
        <v>1006</v>
      </c>
      <c r="L71" s="884"/>
      <c r="M71" s="884"/>
      <c r="O71" s="855"/>
      <c r="P71" s="398"/>
    </row>
    <row r="72" spans="1:16" ht="21.95" customHeight="1">
      <c r="A72" s="884">
        <v>20</v>
      </c>
      <c r="B72" s="911" t="s">
        <v>899</v>
      </c>
      <c r="C72" s="884" t="s">
        <v>900</v>
      </c>
      <c r="D72" s="884" t="s">
        <v>987</v>
      </c>
      <c r="E72" s="884" t="s">
        <v>203</v>
      </c>
      <c r="F72" s="912" t="s">
        <v>1010</v>
      </c>
      <c r="G72" s="884" t="s">
        <v>1011</v>
      </c>
      <c r="H72" s="884" t="s">
        <v>1521</v>
      </c>
      <c r="I72" s="913"/>
      <c r="J72" s="946">
        <v>2160</v>
      </c>
      <c r="K72" s="914" t="s">
        <v>1006</v>
      </c>
      <c r="L72" s="884"/>
      <c r="M72" s="884"/>
      <c r="O72" s="855"/>
      <c r="P72" s="398"/>
    </row>
    <row r="73" spans="1:16" ht="21.95" customHeight="1">
      <c r="A73" s="884">
        <v>21</v>
      </c>
      <c r="B73" s="911" t="s">
        <v>901</v>
      </c>
      <c r="C73" s="884" t="s">
        <v>902</v>
      </c>
      <c r="D73" s="884" t="s">
        <v>987</v>
      </c>
      <c r="E73" s="884" t="s">
        <v>203</v>
      </c>
      <c r="F73" s="912" t="s">
        <v>1012</v>
      </c>
      <c r="G73" s="884" t="s">
        <v>1013</v>
      </c>
      <c r="H73" s="884" t="s">
        <v>1521</v>
      </c>
      <c r="I73" s="913"/>
      <c r="J73" s="946">
        <v>2160</v>
      </c>
      <c r="K73" s="914" t="s">
        <v>1006</v>
      </c>
      <c r="L73" s="884"/>
      <c r="M73" s="884"/>
      <c r="O73" s="855"/>
      <c r="P73" s="398"/>
    </row>
    <row r="74" spans="1:16" s="856" customFormat="1" ht="21.95" customHeight="1">
      <c r="A74" s="884">
        <v>22</v>
      </c>
      <c r="B74" s="917" t="s">
        <v>107</v>
      </c>
      <c r="C74" s="884" t="s">
        <v>1014</v>
      </c>
      <c r="D74" s="884" t="s">
        <v>435</v>
      </c>
      <c r="E74" s="914" t="s">
        <v>97</v>
      </c>
      <c r="F74" s="912" t="s">
        <v>1006</v>
      </c>
      <c r="G74" s="884" t="s">
        <v>1015</v>
      </c>
      <c r="H74" s="884" t="s">
        <v>1522</v>
      </c>
      <c r="I74" s="913"/>
      <c r="J74" s="946">
        <v>2000</v>
      </c>
      <c r="K74" s="916" t="s">
        <v>1006</v>
      </c>
      <c r="L74" s="884"/>
      <c r="M74" s="884"/>
      <c r="N74" s="397"/>
      <c r="O74" s="855"/>
      <c r="P74" s="398"/>
    </row>
    <row r="75" spans="1:16" s="856" customFormat="1" ht="21.95" customHeight="1">
      <c r="A75" s="884">
        <v>23</v>
      </c>
      <c r="B75" s="915" t="s">
        <v>637</v>
      </c>
      <c r="C75" s="884" t="s">
        <v>638</v>
      </c>
      <c r="D75" s="884" t="s">
        <v>480</v>
      </c>
      <c r="E75" s="914" t="s">
        <v>97</v>
      </c>
      <c r="F75" s="912" t="s">
        <v>1006</v>
      </c>
      <c r="G75" s="884" t="s">
        <v>1016</v>
      </c>
      <c r="H75" s="884" t="s">
        <v>1522</v>
      </c>
      <c r="I75" s="913"/>
      <c r="J75" s="946">
        <v>2000</v>
      </c>
      <c r="K75" s="916" t="s">
        <v>1006</v>
      </c>
      <c r="L75" s="884"/>
      <c r="M75" s="884"/>
      <c r="N75" s="397"/>
      <c r="O75" s="855"/>
      <c r="P75" s="398"/>
    </row>
    <row r="76" spans="1:16" ht="21.95" customHeight="1">
      <c r="A76" s="884">
        <v>24</v>
      </c>
      <c r="B76" s="911" t="s">
        <v>1313</v>
      </c>
      <c r="C76" s="884" t="s">
        <v>1314</v>
      </c>
      <c r="D76" s="914" t="s">
        <v>987</v>
      </c>
      <c r="E76" s="884" t="s">
        <v>517</v>
      </c>
      <c r="F76" s="912" t="s">
        <v>1425</v>
      </c>
      <c r="G76" s="884" t="s">
        <v>1017</v>
      </c>
      <c r="H76" s="884" t="s">
        <v>1521</v>
      </c>
      <c r="I76" s="913"/>
      <c r="J76" s="946">
        <v>2160</v>
      </c>
      <c r="K76" s="914" t="s">
        <v>1006</v>
      </c>
      <c r="L76" s="884"/>
      <c r="M76" s="884"/>
      <c r="O76" s="855"/>
      <c r="P76" s="398"/>
    </row>
    <row r="77" spans="1:16" ht="21.95" customHeight="1">
      <c r="A77" s="884">
        <v>25</v>
      </c>
      <c r="B77" s="911" t="s">
        <v>700</v>
      </c>
      <c r="C77" s="884" t="s">
        <v>701</v>
      </c>
      <c r="D77" s="914" t="s">
        <v>433</v>
      </c>
      <c r="E77" s="884" t="s">
        <v>517</v>
      </c>
      <c r="F77" s="912" t="s">
        <v>1018</v>
      </c>
      <c r="G77" s="884" t="s">
        <v>1019</v>
      </c>
      <c r="H77" s="884" t="s">
        <v>1521</v>
      </c>
      <c r="I77" s="913"/>
      <c r="J77" s="946">
        <v>2160</v>
      </c>
      <c r="K77" s="914" t="s">
        <v>1006</v>
      </c>
      <c r="L77" s="884"/>
      <c r="M77" s="884"/>
      <c r="O77" s="855"/>
      <c r="P77" s="398"/>
    </row>
    <row r="78" spans="1:16" ht="21.95" customHeight="1">
      <c r="A78" s="884">
        <v>26</v>
      </c>
      <c r="B78" s="911" t="s">
        <v>591</v>
      </c>
      <c r="C78" s="884" t="s">
        <v>592</v>
      </c>
      <c r="D78" s="884" t="s">
        <v>492</v>
      </c>
      <c r="E78" s="884" t="s">
        <v>203</v>
      </c>
      <c r="F78" s="912" t="s">
        <v>1020</v>
      </c>
      <c r="G78" s="884" t="s">
        <v>1021</v>
      </c>
      <c r="H78" s="884" t="s">
        <v>1521</v>
      </c>
      <c r="I78" s="913"/>
      <c r="J78" s="946">
        <v>2160</v>
      </c>
      <c r="K78" s="914" t="s">
        <v>1022</v>
      </c>
      <c r="L78" s="884"/>
      <c r="M78" s="884"/>
      <c r="O78" s="855"/>
      <c r="P78" s="398"/>
    </row>
    <row r="79" spans="1:16" s="968" customFormat="1" ht="21.95" customHeight="1">
      <c r="A79" s="962">
        <v>27</v>
      </c>
      <c r="B79" s="973" t="s">
        <v>640</v>
      </c>
      <c r="C79" s="974" t="s">
        <v>76</v>
      </c>
      <c r="D79" s="974" t="s">
        <v>433</v>
      </c>
      <c r="E79" s="974" t="s">
        <v>203</v>
      </c>
      <c r="F79" s="964" t="s">
        <v>1020</v>
      </c>
      <c r="G79" s="962" t="s">
        <v>1023</v>
      </c>
      <c r="H79" s="962" t="s">
        <v>1521</v>
      </c>
      <c r="I79" s="965" t="s">
        <v>1524</v>
      </c>
      <c r="J79" s="966"/>
      <c r="K79" s="967" t="s">
        <v>1020</v>
      </c>
      <c r="L79" s="962" t="s">
        <v>1020</v>
      </c>
      <c r="M79" s="962" t="s">
        <v>1888</v>
      </c>
      <c r="O79" s="855"/>
      <c r="P79" s="398"/>
    </row>
    <row r="80" spans="1:16" ht="21.95" customHeight="1">
      <c r="A80" s="884">
        <v>28</v>
      </c>
      <c r="B80" s="911" t="s">
        <v>895</v>
      </c>
      <c r="C80" s="884" t="s">
        <v>896</v>
      </c>
      <c r="D80" s="884" t="s">
        <v>987</v>
      </c>
      <c r="E80" s="884" t="s">
        <v>203</v>
      </c>
      <c r="F80" s="912" t="s">
        <v>1020</v>
      </c>
      <c r="G80" s="884" t="s">
        <v>1024</v>
      </c>
      <c r="H80" s="884" t="s">
        <v>1521</v>
      </c>
      <c r="I80" s="913" t="s">
        <v>1525</v>
      </c>
      <c r="J80" s="946">
        <v>2160</v>
      </c>
      <c r="K80" s="914" t="s">
        <v>1022</v>
      </c>
      <c r="L80" s="884"/>
      <c r="M80" s="884"/>
      <c r="O80" s="855"/>
      <c r="P80" s="398"/>
    </row>
    <row r="81" spans="1:16" ht="21.95" customHeight="1">
      <c r="A81" s="884">
        <v>29</v>
      </c>
      <c r="B81" s="911" t="s">
        <v>955</v>
      </c>
      <c r="C81" s="884" t="s">
        <v>1025</v>
      </c>
      <c r="D81" s="884" t="s">
        <v>445</v>
      </c>
      <c r="E81" s="884" t="s">
        <v>203</v>
      </c>
      <c r="F81" s="912" t="s">
        <v>1026</v>
      </c>
      <c r="G81" s="884" t="s">
        <v>1526</v>
      </c>
      <c r="H81" s="884" t="s">
        <v>1521</v>
      </c>
      <c r="I81" s="913" t="s">
        <v>1527</v>
      </c>
      <c r="J81" s="946">
        <v>2160</v>
      </c>
      <c r="K81" s="914" t="s">
        <v>1022</v>
      </c>
      <c r="L81" s="884"/>
      <c r="M81" s="884"/>
      <c r="O81" s="855"/>
      <c r="P81" s="398"/>
    </row>
    <row r="82" spans="1:16" s="856" customFormat="1" ht="21.95" customHeight="1">
      <c r="A82" s="884">
        <v>30</v>
      </c>
      <c r="B82" s="915" t="s">
        <v>696</v>
      </c>
      <c r="C82" s="914" t="s">
        <v>697</v>
      </c>
      <c r="D82" s="884" t="s">
        <v>480</v>
      </c>
      <c r="E82" s="914" t="s">
        <v>97</v>
      </c>
      <c r="F82" s="912" t="s">
        <v>1020</v>
      </c>
      <c r="G82" s="884" t="s">
        <v>1027</v>
      </c>
      <c r="H82" s="884" t="s">
        <v>1522</v>
      </c>
      <c r="I82" s="913" t="s">
        <v>1028</v>
      </c>
      <c r="J82" s="946">
        <v>2000</v>
      </c>
      <c r="K82" s="916" t="s">
        <v>1020</v>
      </c>
      <c r="L82" s="884"/>
      <c r="M82" s="884"/>
      <c r="N82" s="397"/>
      <c r="O82" s="855"/>
      <c r="P82" s="398"/>
    </row>
    <row r="83" spans="1:16" s="856" customFormat="1" ht="21.95" customHeight="1">
      <c r="A83" s="884">
        <v>31</v>
      </c>
      <c r="B83" s="915" t="s">
        <v>656</v>
      </c>
      <c r="C83" s="884" t="s">
        <v>657</v>
      </c>
      <c r="D83" s="884" t="s">
        <v>435</v>
      </c>
      <c r="E83" s="914" t="s">
        <v>97</v>
      </c>
      <c r="F83" s="912" t="s">
        <v>1022</v>
      </c>
      <c r="G83" s="884" t="s">
        <v>1029</v>
      </c>
      <c r="H83" s="884" t="s">
        <v>1522</v>
      </c>
      <c r="I83" s="913" t="s">
        <v>1528</v>
      </c>
      <c r="J83" s="946">
        <v>2000</v>
      </c>
      <c r="K83" s="916" t="s">
        <v>1022</v>
      </c>
      <c r="L83" s="884"/>
      <c r="M83" s="884"/>
      <c r="N83" s="397"/>
      <c r="O83" s="855"/>
      <c r="P83" s="398"/>
    </row>
    <row r="84" spans="1:16" s="856" customFormat="1" ht="21.95" customHeight="1">
      <c r="A84" s="884">
        <v>32</v>
      </c>
      <c r="B84" s="915" t="s">
        <v>868</v>
      </c>
      <c r="C84" s="884" t="s">
        <v>869</v>
      </c>
      <c r="D84" s="884" t="s">
        <v>435</v>
      </c>
      <c r="E84" s="914" t="s">
        <v>97</v>
      </c>
      <c r="F84" s="912" t="s">
        <v>1022</v>
      </c>
      <c r="G84" s="884" t="s">
        <v>1030</v>
      </c>
      <c r="H84" s="884" t="s">
        <v>1522</v>
      </c>
      <c r="I84" s="913" t="s">
        <v>1529</v>
      </c>
      <c r="J84" s="946">
        <v>2000</v>
      </c>
      <c r="K84" s="916" t="s">
        <v>1022</v>
      </c>
      <c r="L84" s="884"/>
      <c r="M84" s="884"/>
      <c r="N84" s="397"/>
      <c r="O84" s="855"/>
      <c r="P84" s="398"/>
    </row>
    <row r="85" spans="1:16" s="856" customFormat="1" ht="21.95" customHeight="1">
      <c r="A85" s="884">
        <v>33</v>
      </c>
      <c r="B85" s="915" t="s">
        <v>918</v>
      </c>
      <c r="C85" s="884" t="s">
        <v>919</v>
      </c>
      <c r="D85" s="884" t="s">
        <v>435</v>
      </c>
      <c r="E85" s="914" t="s">
        <v>97</v>
      </c>
      <c r="F85" s="912" t="s">
        <v>1022</v>
      </c>
      <c r="G85" s="884" t="s">
        <v>1530</v>
      </c>
      <c r="H85" s="884" t="s">
        <v>1522</v>
      </c>
      <c r="I85" s="913"/>
      <c r="J85" s="946">
        <v>2000</v>
      </c>
      <c r="K85" s="916" t="s">
        <v>1022</v>
      </c>
      <c r="L85" s="884"/>
      <c r="M85" s="884"/>
      <c r="N85" s="397"/>
      <c r="O85" s="855"/>
      <c r="P85" s="398"/>
    </row>
    <row r="86" spans="1:16" ht="21.95" customHeight="1">
      <c r="A86" s="884">
        <v>34</v>
      </c>
      <c r="B86" s="911" t="s">
        <v>1614</v>
      </c>
      <c r="C86" s="884" t="s">
        <v>1615</v>
      </c>
      <c r="D86" s="884" t="s">
        <v>433</v>
      </c>
      <c r="E86" s="884" t="s">
        <v>517</v>
      </c>
      <c r="F86" s="912" t="s">
        <v>1022</v>
      </c>
      <c r="G86" s="884" t="s">
        <v>1031</v>
      </c>
      <c r="H86" s="884" t="s">
        <v>1521</v>
      </c>
      <c r="I86" s="913" t="s">
        <v>1531</v>
      </c>
      <c r="J86" s="946">
        <v>2160</v>
      </c>
      <c r="K86" s="914" t="s">
        <v>1022</v>
      </c>
      <c r="L86" s="884" t="s">
        <v>1884</v>
      </c>
      <c r="M86" s="884"/>
      <c r="O86" s="855"/>
      <c r="P86" s="398"/>
    </row>
    <row r="87" spans="1:16" ht="21.95" customHeight="1">
      <c r="A87" s="884">
        <v>35</v>
      </c>
      <c r="B87" s="911" t="s">
        <v>588</v>
      </c>
      <c r="C87" s="884" t="s">
        <v>1032</v>
      </c>
      <c r="D87" s="914" t="s">
        <v>987</v>
      </c>
      <c r="E87" s="884" t="s">
        <v>517</v>
      </c>
      <c r="F87" s="912" t="s">
        <v>1020</v>
      </c>
      <c r="G87" s="884" t="s">
        <v>1033</v>
      </c>
      <c r="H87" s="884" t="s">
        <v>1521</v>
      </c>
      <c r="I87" s="913"/>
      <c r="J87" s="946">
        <v>2160</v>
      </c>
      <c r="K87" s="914" t="s">
        <v>1022</v>
      </c>
      <c r="L87" s="884"/>
      <c r="M87" s="884"/>
      <c r="O87" s="855"/>
      <c r="P87" s="398"/>
    </row>
    <row r="88" spans="1:16" s="856" customFormat="1" ht="21.95" customHeight="1">
      <c r="A88" s="884">
        <v>36</v>
      </c>
      <c r="B88" s="915" t="s">
        <v>897</v>
      </c>
      <c r="C88" s="884" t="s">
        <v>1034</v>
      </c>
      <c r="D88" s="884" t="s">
        <v>1035</v>
      </c>
      <c r="E88" s="914" t="s">
        <v>203</v>
      </c>
      <c r="F88" s="912" t="s">
        <v>1036</v>
      </c>
      <c r="G88" s="884" t="s">
        <v>1037</v>
      </c>
      <c r="H88" s="884" t="s">
        <v>1521</v>
      </c>
      <c r="I88" s="913"/>
      <c r="J88" s="946">
        <v>2160</v>
      </c>
      <c r="K88" s="916" t="s">
        <v>1038</v>
      </c>
      <c r="L88" s="884"/>
      <c r="M88" s="884"/>
      <c r="N88" s="397"/>
      <c r="O88" s="855"/>
      <c r="P88" s="398"/>
    </row>
    <row r="89" spans="1:16" s="856" customFormat="1" ht="21.95" customHeight="1">
      <c r="A89" s="884">
        <v>37</v>
      </c>
      <c r="B89" s="915" t="s">
        <v>104</v>
      </c>
      <c r="C89" s="884" t="s">
        <v>442</v>
      </c>
      <c r="D89" s="884" t="s">
        <v>435</v>
      </c>
      <c r="E89" s="914" t="s">
        <v>97</v>
      </c>
      <c r="F89" s="912" t="s">
        <v>1095</v>
      </c>
      <c r="G89" s="884" t="s">
        <v>1096</v>
      </c>
      <c r="H89" s="884" t="s">
        <v>1522</v>
      </c>
      <c r="I89" s="913"/>
      <c r="J89" s="946">
        <v>2000</v>
      </c>
      <c r="K89" s="916" t="s">
        <v>1038</v>
      </c>
      <c r="L89" s="884"/>
      <c r="M89" s="884"/>
      <c r="N89" s="397"/>
      <c r="O89" s="855"/>
      <c r="P89" s="398"/>
    </row>
    <row r="90" spans="1:16" ht="21.95" customHeight="1">
      <c r="A90" s="884">
        <v>38</v>
      </c>
      <c r="B90" s="911" t="s">
        <v>558</v>
      </c>
      <c r="C90" s="884" t="s">
        <v>559</v>
      </c>
      <c r="D90" s="914" t="s">
        <v>987</v>
      </c>
      <c r="E90" s="884" t="s">
        <v>517</v>
      </c>
      <c r="F90" s="912" t="s">
        <v>1039</v>
      </c>
      <c r="G90" s="884" t="s">
        <v>1040</v>
      </c>
      <c r="H90" s="884" t="s">
        <v>1521</v>
      </c>
      <c r="I90" s="913"/>
      <c r="J90" s="946">
        <v>2160</v>
      </c>
      <c r="K90" s="914" t="s">
        <v>1038</v>
      </c>
      <c r="L90" s="884"/>
      <c r="M90" s="884"/>
      <c r="O90" s="855"/>
      <c r="P90" s="398"/>
    </row>
    <row r="91" spans="1:16" ht="21.95" customHeight="1">
      <c r="A91" s="884">
        <v>39</v>
      </c>
      <c r="B91" s="911" t="s">
        <v>645</v>
      </c>
      <c r="C91" s="884" t="s">
        <v>646</v>
      </c>
      <c r="D91" s="914" t="s">
        <v>987</v>
      </c>
      <c r="E91" s="884" t="s">
        <v>517</v>
      </c>
      <c r="F91" s="912" t="s">
        <v>1038</v>
      </c>
      <c r="G91" s="884" t="s">
        <v>1041</v>
      </c>
      <c r="H91" s="884" t="s">
        <v>1521</v>
      </c>
      <c r="I91" s="913"/>
      <c r="J91" s="946">
        <v>2160</v>
      </c>
      <c r="K91" s="914" t="s">
        <v>1038</v>
      </c>
      <c r="L91" s="884"/>
      <c r="M91" s="884"/>
      <c r="O91" s="855"/>
      <c r="P91" s="398"/>
    </row>
    <row r="92" spans="1:16" ht="21.95" customHeight="1">
      <c r="A92" s="884">
        <v>40</v>
      </c>
      <c r="B92" s="911" t="s">
        <v>926</v>
      </c>
      <c r="C92" s="884" t="s">
        <v>1098</v>
      </c>
      <c r="D92" s="884" t="s">
        <v>987</v>
      </c>
      <c r="E92" s="884" t="s">
        <v>203</v>
      </c>
      <c r="F92" s="912" t="s">
        <v>1022</v>
      </c>
      <c r="G92" s="884" t="s">
        <v>1042</v>
      </c>
      <c r="H92" s="884" t="s">
        <v>1521</v>
      </c>
      <c r="I92" s="913"/>
      <c r="J92" s="946">
        <v>2160</v>
      </c>
      <c r="K92" s="914" t="s">
        <v>1038</v>
      </c>
      <c r="L92" s="884"/>
      <c r="M92" s="884"/>
      <c r="O92" s="855"/>
      <c r="P92" s="398"/>
    </row>
    <row r="93" spans="1:16" ht="21.95" customHeight="1">
      <c r="A93" s="884">
        <v>41</v>
      </c>
      <c r="B93" s="911" t="s">
        <v>1090</v>
      </c>
      <c r="C93" s="884" t="s">
        <v>1091</v>
      </c>
      <c r="D93" s="884" t="s">
        <v>647</v>
      </c>
      <c r="E93" s="884" t="s">
        <v>203</v>
      </c>
      <c r="F93" s="912" t="s">
        <v>1097</v>
      </c>
      <c r="G93" s="884" t="s">
        <v>1043</v>
      </c>
      <c r="H93" s="884" t="s">
        <v>1521</v>
      </c>
      <c r="I93" s="913"/>
      <c r="J93" s="946">
        <v>2160</v>
      </c>
      <c r="K93" s="914" t="s">
        <v>1044</v>
      </c>
      <c r="L93" s="884"/>
      <c r="M93" s="884"/>
      <c r="O93" s="855"/>
      <c r="P93" s="398"/>
    </row>
    <row r="94" spans="1:16" s="856" customFormat="1" ht="21.95" customHeight="1">
      <c r="A94" s="884">
        <v>42</v>
      </c>
      <c r="B94" s="915" t="s">
        <v>527</v>
      </c>
      <c r="C94" s="884" t="s">
        <v>528</v>
      </c>
      <c r="D94" s="884" t="s">
        <v>435</v>
      </c>
      <c r="E94" s="914" t="s">
        <v>97</v>
      </c>
      <c r="F94" s="912" t="s">
        <v>1044</v>
      </c>
      <c r="G94" s="884" t="s">
        <v>1045</v>
      </c>
      <c r="H94" s="884" t="s">
        <v>1522</v>
      </c>
      <c r="I94" s="913" t="s">
        <v>1532</v>
      </c>
      <c r="J94" s="946">
        <v>2000</v>
      </c>
      <c r="K94" s="916" t="s">
        <v>1044</v>
      </c>
      <c r="L94" s="884"/>
      <c r="M94" s="884"/>
      <c r="N94" s="397"/>
      <c r="O94" s="855"/>
      <c r="P94" s="398"/>
    </row>
    <row r="95" spans="1:16" s="972" customFormat="1" ht="21.95" customHeight="1">
      <c r="A95" s="962">
        <v>43</v>
      </c>
      <c r="B95" s="970" t="s">
        <v>546</v>
      </c>
      <c r="C95" s="962" t="s">
        <v>547</v>
      </c>
      <c r="D95" s="962" t="s">
        <v>435</v>
      </c>
      <c r="E95" s="967" t="s">
        <v>97</v>
      </c>
      <c r="F95" s="964" t="s">
        <v>1044</v>
      </c>
      <c r="G95" s="962" t="s">
        <v>1046</v>
      </c>
      <c r="H95" s="962" t="s">
        <v>1522</v>
      </c>
      <c r="I95" s="965" t="s">
        <v>1533</v>
      </c>
      <c r="J95" s="966"/>
      <c r="K95" s="971" t="s">
        <v>1044</v>
      </c>
      <c r="L95" s="962" t="s">
        <v>1885</v>
      </c>
      <c r="M95" s="962"/>
      <c r="N95" s="968"/>
      <c r="O95" s="855"/>
      <c r="P95" s="398"/>
    </row>
    <row r="96" spans="1:16" ht="21.95" customHeight="1">
      <c r="A96" s="884">
        <v>44</v>
      </c>
      <c r="B96" s="881" t="s">
        <v>1645</v>
      </c>
      <c r="C96" s="882" t="s">
        <v>912</v>
      </c>
      <c r="D96" s="919" t="s">
        <v>928</v>
      </c>
      <c r="E96" s="884" t="s">
        <v>517</v>
      </c>
      <c r="F96" s="912" t="s">
        <v>1047</v>
      </c>
      <c r="G96" s="884" t="s">
        <v>1048</v>
      </c>
      <c r="H96" s="884" t="s">
        <v>1521</v>
      </c>
      <c r="I96" s="913"/>
      <c r="J96" s="946">
        <v>2160</v>
      </c>
      <c r="K96" s="914" t="s">
        <v>1044</v>
      </c>
      <c r="L96" s="884"/>
      <c r="M96" s="884"/>
      <c r="O96" s="855"/>
      <c r="P96" s="398"/>
    </row>
    <row r="97" spans="1:17" ht="21.95" customHeight="1">
      <c r="A97" s="884">
        <v>45</v>
      </c>
      <c r="B97" s="911" t="s">
        <v>851</v>
      </c>
      <c r="C97" s="884" t="s">
        <v>852</v>
      </c>
      <c r="D97" s="914" t="s">
        <v>853</v>
      </c>
      <c r="E97" s="884" t="s">
        <v>517</v>
      </c>
      <c r="F97" s="912" t="s">
        <v>1044</v>
      </c>
      <c r="G97" s="884" t="s">
        <v>1049</v>
      </c>
      <c r="H97" s="884" t="s">
        <v>1521</v>
      </c>
      <c r="I97" s="913" t="s">
        <v>1534</v>
      </c>
      <c r="J97" s="946">
        <v>2160</v>
      </c>
      <c r="K97" s="914" t="s">
        <v>1044</v>
      </c>
      <c r="L97" s="884"/>
      <c r="M97" s="884"/>
      <c r="O97" s="855"/>
      <c r="P97" s="398"/>
    </row>
    <row r="98" spans="1:17" ht="21.95" customHeight="1">
      <c r="A98" s="884">
        <v>46</v>
      </c>
      <c r="B98" s="911" t="s">
        <v>216</v>
      </c>
      <c r="C98" s="884" t="s">
        <v>450</v>
      </c>
      <c r="D98" s="884" t="s">
        <v>987</v>
      </c>
      <c r="E98" s="884" t="s">
        <v>203</v>
      </c>
      <c r="F98" s="912" t="s">
        <v>1050</v>
      </c>
      <c r="G98" s="884" t="s">
        <v>1051</v>
      </c>
      <c r="H98" s="884" t="s">
        <v>1521</v>
      </c>
      <c r="I98" s="913"/>
      <c r="J98" s="946">
        <v>2160</v>
      </c>
      <c r="K98" s="914" t="s">
        <v>1052</v>
      </c>
      <c r="L98" s="884"/>
      <c r="M98" s="884"/>
      <c r="O98" s="855"/>
      <c r="P98" s="398"/>
    </row>
    <row r="99" spans="1:17" ht="21.95" customHeight="1">
      <c r="A99" s="884">
        <v>47</v>
      </c>
      <c r="B99" s="911" t="s">
        <v>221</v>
      </c>
      <c r="C99" s="884" t="s">
        <v>222</v>
      </c>
      <c r="D99" s="884" t="s">
        <v>987</v>
      </c>
      <c r="E99" s="884" t="s">
        <v>203</v>
      </c>
      <c r="F99" s="912" t="s">
        <v>1053</v>
      </c>
      <c r="G99" s="884" t="s">
        <v>1054</v>
      </c>
      <c r="H99" s="884" t="s">
        <v>1521</v>
      </c>
      <c r="I99" s="913"/>
      <c r="J99" s="946">
        <v>2160</v>
      </c>
      <c r="K99" s="914" t="s">
        <v>1052</v>
      </c>
      <c r="L99" s="884"/>
      <c r="M99" s="884"/>
      <c r="O99" s="855"/>
      <c r="P99" s="398"/>
    </row>
    <row r="100" spans="1:17" s="968" customFormat="1" ht="21.95" customHeight="1">
      <c r="A100" s="962">
        <v>48</v>
      </c>
      <c r="B100" s="963" t="s">
        <v>862</v>
      </c>
      <c r="C100" s="962" t="s">
        <v>863</v>
      </c>
      <c r="D100" s="962" t="s">
        <v>987</v>
      </c>
      <c r="E100" s="962" t="s">
        <v>203</v>
      </c>
      <c r="F100" s="964" t="s">
        <v>1052</v>
      </c>
      <c r="G100" s="962" t="s">
        <v>1055</v>
      </c>
      <c r="H100" s="962" t="s">
        <v>1521</v>
      </c>
      <c r="I100" s="965"/>
      <c r="J100" s="966"/>
      <c r="K100" s="967" t="s">
        <v>1052</v>
      </c>
      <c r="L100" s="962" t="s">
        <v>1886</v>
      </c>
      <c r="M100" s="962"/>
      <c r="O100" s="855"/>
      <c r="P100" s="398"/>
    </row>
    <row r="101" spans="1:17" s="972" customFormat="1" ht="21.95" customHeight="1">
      <c r="A101" s="962">
        <v>49</v>
      </c>
      <c r="B101" s="970" t="s">
        <v>177</v>
      </c>
      <c r="C101" s="962" t="s">
        <v>178</v>
      </c>
      <c r="D101" s="962" t="s">
        <v>479</v>
      </c>
      <c r="E101" s="967" t="s">
        <v>97</v>
      </c>
      <c r="F101" s="964" t="s">
        <v>1052</v>
      </c>
      <c r="G101" s="962" t="s">
        <v>1056</v>
      </c>
      <c r="H101" s="962" t="s">
        <v>1521</v>
      </c>
      <c r="I101" s="965"/>
      <c r="J101" s="966"/>
      <c r="K101" s="971" t="s">
        <v>1052</v>
      </c>
      <c r="L101" s="962" t="s">
        <v>1631</v>
      </c>
      <c r="M101" s="962" t="s">
        <v>1888</v>
      </c>
      <c r="N101" s="968"/>
      <c r="O101" s="855"/>
      <c r="P101" s="398"/>
    </row>
    <row r="102" spans="1:17" s="856" customFormat="1" ht="21.95" customHeight="1">
      <c r="A102" s="884">
        <v>50</v>
      </c>
      <c r="B102" s="915" t="s">
        <v>565</v>
      </c>
      <c r="C102" s="884" t="s">
        <v>566</v>
      </c>
      <c r="D102" s="884" t="s">
        <v>435</v>
      </c>
      <c r="E102" s="914" t="s">
        <v>97</v>
      </c>
      <c r="F102" s="912" t="s">
        <v>1052</v>
      </c>
      <c r="G102" s="884" t="s">
        <v>1057</v>
      </c>
      <c r="H102" s="884" t="s">
        <v>1522</v>
      </c>
      <c r="I102" s="913"/>
      <c r="J102" s="946">
        <v>2000</v>
      </c>
      <c r="K102" s="916" t="s">
        <v>1052</v>
      </c>
      <c r="L102" s="884"/>
      <c r="M102" s="884"/>
      <c r="N102" s="397"/>
      <c r="O102" s="855"/>
      <c r="P102" s="398"/>
    </row>
    <row r="103" spans="1:17" s="856" customFormat="1" ht="21.95" customHeight="1">
      <c r="A103" s="884">
        <v>51</v>
      </c>
      <c r="B103" s="915" t="s">
        <v>650</v>
      </c>
      <c r="C103" s="884" t="s">
        <v>651</v>
      </c>
      <c r="D103" s="884" t="s">
        <v>473</v>
      </c>
      <c r="E103" s="914" t="s">
        <v>97</v>
      </c>
      <c r="F103" s="912" t="s">
        <v>1052</v>
      </c>
      <c r="G103" s="884" t="s">
        <v>1058</v>
      </c>
      <c r="H103" s="884" t="s">
        <v>1522</v>
      </c>
      <c r="I103" s="913"/>
      <c r="J103" s="946">
        <v>2000</v>
      </c>
      <c r="K103" s="916" t="s">
        <v>1052</v>
      </c>
      <c r="L103" s="884"/>
      <c r="M103" s="884"/>
      <c r="N103" s="397"/>
      <c r="O103" s="855"/>
      <c r="P103" s="398"/>
    </row>
    <row r="104" spans="1:17" s="856" customFormat="1" ht="21.95" customHeight="1">
      <c r="A104" s="884">
        <v>52</v>
      </c>
      <c r="B104" s="915" t="s">
        <v>910</v>
      </c>
      <c r="C104" s="884" t="s">
        <v>911</v>
      </c>
      <c r="D104" s="884" t="s">
        <v>435</v>
      </c>
      <c r="E104" s="914" t="s">
        <v>97</v>
      </c>
      <c r="F104" s="912" t="s">
        <v>1052</v>
      </c>
      <c r="G104" s="884" t="s">
        <v>1059</v>
      </c>
      <c r="H104" s="884" t="s">
        <v>1522</v>
      </c>
      <c r="I104" s="913"/>
      <c r="J104" s="946">
        <v>2000</v>
      </c>
      <c r="K104" s="916" t="s">
        <v>1052</v>
      </c>
      <c r="L104" s="884"/>
      <c r="M104" s="884"/>
      <c r="N104" s="397"/>
      <c r="O104" s="855"/>
      <c r="P104" s="398"/>
    </row>
    <row r="105" spans="1:17" s="856" customFormat="1" ht="21.95" customHeight="1">
      <c r="A105" s="884">
        <v>53</v>
      </c>
      <c r="B105" s="915" t="s">
        <v>145</v>
      </c>
      <c r="C105" s="884" t="s">
        <v>146</v>
      </c>
      <c r="D105" s="884" t="s">
        <v>439</v>
      </c>
      <c r="E105" s="914" t="s">
        <v>97</v>
      </c>
      <c r="F105" s="912" t="s">
        <v>1052</v>
      </c>
      <c r="G105" s="884" t="s">
        <v>1060</v>
      </c>
      <c r="H105" s="884" t="s">
        <v>1522</v>
      </c>
      <c r="I105" s="913"/>
      <c r="J105" s="946">
        <v>2000</v>
      </c>
      <c r="K105" s="916" t="s">
        <v>1052</v>
      </c>
      <c r="L105" s="884"/>
      <c r="M105" s="884"/>
      <c r="N105" s="397"/>
      <c r="O105" s="855"/>
      <c r="P105" s="398"/>
    </row>
    <row r="106" spans="1:17" ht="21.95" customHeight="1">
      <c r="A106" s="884">
        <v>54</v>
      </c>
      <c r="B106" s="911" t="s">
        <v>924</v>
      </c>
      <c r="C106" s="884" t="s">
        <v>925</v>
      </c>
      <c r="D106" s="914" t="s">
        <v>853</v>
      </c>
      <c r="E106" s="884" t="s">
        <v>203</v>
      </c>
      <c r="F106" s="912" t="s">
        <v>1053</v>
      </c>
      <c r="G106" s="884" t="s">
        <v>1061</v>
      </c>
      <c r="H106" s="884" t="s">
        <v>1521</v>
      </c>
      <c r="I106" s="913"/>
      <c r="J106" s="946">
        <v>2160</v>
      </c>
      <c r="K106" s="914" t="s">
        <v>1052</v>
      </c>
      <c r="L106" s="884"/>
      <c r="M106" s="884"/>
      <c r="O106" s="855"/>
      <c r="P106" s="398"/>
    </row>
    <row r="107" spans="1:17" ht="21.95" customHeight="1">
      <c r="A107" s="895">
        <v>55</v>
      </c>
      <c r="B107" s="894" t="s">
        <v>929</v>
      </c>
      <c r="C107" s="895" t="s">
        <v>930</v>
      </c>
      <c r="D107" s="920" t="s">
        <v>853</v>
      </c>
      <c r="E107" s="895" t="s">
        <v>203</v>
      </c>
      <c r="F107" s="896" t="s">
        <v>1062</v>
      </c>
      <c r="G107" s="895" t="s">
        <v>1063</v>
      </c>
      <c r="H107" s="895" t="s">
        <v>1521</v>
      </c>
      <c r="I107" s="897"/>
      <c r="J107" s="951">
        <v>2160</v>
      </c>
      <c r="K107" s="920" t="s">
        <v>1052</v>
      </c>
      <c r="L107" s="895"/>
      <c r="M107" s="895"/>
      <c r="O107" s="855"/>
      <c r="P107" s="398"/>
    </row>
    <row r="108" spans="1:17" ht="21.95" customHeight="1">
      <c r="A108" s="934" t="s">
        <v>67</v>
      </c>
      <c r="B108" s="935"/>
      <c r="C108" s="940"/>
      <c r="D108" s="935"/>
      <c r="E108" s="935"/>
      <c r="F108" s="935"/>
      <c r="G108" s="935"/>
      <c r="H108" s="871"/>
      <c r="I108" s="372"/>
      <c r="J108" s="870">
        <f>SUM(J53:J107)</f>
        <v>105661</v>
      </c>
      <c r="K108" s="245"/>
      <c r="L108" s="245"/>
      <c r="O108" s="855"/>
      <c r="P108" s="398"/>
      <c r="Q108" s="398"/>
    </row>
    <row r="109" spans="1:17" ht="21.95" customHeight="1">
      <c r="A109" s="936" t="s">
        <v>1397</v>
      </c>
      <c r="B109" s="937"/>
      <c r="C109" s="939"/>
      <c r="D109" s="937"/>
      <c r="E109" s="937"/>
      <c r="F109" s="937"/>
      <c r="G109" s="937"/>
      <c r="H109" s="937"/>
      <c r="I109" s="937"/>
      <c r="J109" s="937"/>
      <c r="K109" s="937"/>
      <c r="L109" s="937"/>
      <c r="M109" s="938"/>
      <c r="N109" s="851"/>
      <c r="O109" s="855"/>
      <c r="P109" s="398"/>
      <c r="Q109" s="398"/>
    </row>
    <row r="110" spans="1:17" ht="21.95" customHeight="1">
      <c r="A110" s="921">
        <v>1</v>
      </c>
      <c r="B110" s="922" t="s">
        <v>1369</v>
      </c>
      <c r="C110" s="922" t="s">
        <v>1370</v>
      </c>
      <c r="D110" s="922" t="s">
        <v>445</v>
      </c>
      <c r="E110" s="922" t="s">
        <v>517</v>
      </c>
      <c r="F110" s="922" t="s">
        <v>1038</v>
      </c>
      <c r="G110" s="922" t="s">
        <v>1407</v>
      </c>
      <c r="H110" s="922" t="s">
        <v>1423</v>
      </c>
      <c r="I110" s="923"/>
      <c r="J110" s="952">
        <v>2175</v>
      </c>
      <c r="K110" s="922" t="s">
        <v>1038</v>
      </c>
      <c r="L110" s="941"/>
      <c r="M110" s="924"/>
      <c r="N110" s="851"/>
      <c r="O110" s="855"/>
      <c r="P110" s="398"/>
      <c r="Q110" s="398"/>
    </row>
    <row r="111" spans="1:17" ht="21.95" customHeight="1">
      <c r="A111" s="914">
        <v>2</v>
      </c>
      <c r="B111" s="925" t="s">
        <v>1172</v>
      </c>
      <c r="C111" s="925" t="s">
        <v>1173</v>
      </c>
      <c r="D111" s="925" t="s">
        <v>445</v>
      </c>
      <c r="E111" s="925" t="s">
        <v>1183</v>
      </c>
      <c r="F111" s="925" t="s">
        <v>1022</v>
      </c>
      <c r="G111" s="925" t="s">
        <v>1408</v>
      </c>
      <c r="H111" s="925" t="s">
        <v>1423</v>
      </c>
      <c r="I111" s="926"/>
      <c r="J111" s="953">
        <v>2175</v>
      </c>
      <c r="K111" s="925"/>
      <c r="L111" s="942"/>
      <c r="M111" s="927"/>
      <c r="N111" s="851"/>
      <c r="O111" s="855"/>
      <c r="P111" s="398"/>
      <c r="Q111" s="398"/>
    </row>
    <row r="112" spans="1:17" ht="21.95" customHeight="1">
      <c r="A112" s="914">
        <v>3</v>
      </c>
      <c r="B112" s="928" t="s">
        <v>1676</v>
      </c>
      <c r="C112" s="928" t="s">
        <v>1677</v>
      </c>
      <c r="D112" s="928" t="s">
        <v>928</v>
      </c>
      <c r="E112" s="928" t="s">
        <v>1183</v>
      </c>
      <c r="F112" s="928" t="s">
        <v>1022</v>
      </c>
      <c r="G112" s="928" t="s">
        <v>1409</v>
      </c>
      <c r="H112" s="928" t="s">
        <v>1423</v>
      </c>
      <c r="I112" s="929"/>
      <c r="J112" s="954">
        <v>2175</v>
      </c>
      <c r="K112" s="928" t="s">
        <v>1022</v>
      </c>
      <c r="L112" s="942"/>
      <c r="M112" s="927"/>
      <c r="N112" s="851"/>
      <c r="O112" s="855"/>
      <c r="P112" s="398"/>
      <c r="Q112" s="398"/>
    </row>
    <row r="113" spans="1:17" ht="21.95" customHeight="1">
      <c r="A113" s="914">
        <v>4</v>
      </c>
      <c r="B113" s="925" t="s">
        <v>1081</v>
      </c>
      <c r="C113" s="925" t="s">
        <v>1082</v>
      </c>
      <c r="D113" s="925" t="s">
        <v>452</v>
      </c>
      <c r="E113" s="925" t="s">
        <v>1183</v>
      </c>
      <c r="F113" s="925" t="s">
        <v>1039</v>
      </c>
      <c r="G113" s="925" t="s">
        <v>1410</v>
      </c>
      <c r="H113" s="925" t="s">
        <v>1423</v>
      </c>
      <c r="I113" s="926"/>
      <c r="J113" s="953">
        <v>2175</v>
      </c>
      <c r="K113" s="925"/>
      <c r="L113" s="942"/>
      <c r="M113" s="927"/>
      <c r="N113" s="851"/>
      <c r="O113" s="855"/>
      <c r="P113" s="398"/>
      <c r="Q113" s="398"/>
    </row>
    <row r="114" spans="1:17" ht="21.95" customHeight="1">
      <c r="A114" s="914">
        <v>5</v>
      </c>
      <c r="B114" s="925" t="s">
        <v>1198</v>
      </c>
      <c r="C114" s="925" t="s">
        <v>1199</v>
      </c>
      <c r="D114" s="925" t="s">
        <v>445</v>
      </c>
      <c r="E114" s="925" t="s">
        <v>1183</v>
      </c>
      <c r="F114" s="925" t="s">
        <v>1401</v>
      </c>
      <c r="G114" s="925" t="s">
        <v>1411</v>
      </c>
      <c r="H114" s="925" t="s">
        <v>1423</v>
      </c>
      <c r="I114" s="926"/>
      <c r="J114" s="953">
        <v>2175</v>
      </c>
      <c r="K114" s="925"/>
      <c r="L114" s="942"/>
      <c r="M114" s="927"/>
      <c r="N114" s="851"/>
      <c r="O114" s="855"/>
      <c r="P114" s="398"/>
      <c r="Q114" s="398"/>
    </row>
    <row r="115" spans="1:17" ht="21.95" customHeight="1">
      <c r="A115" s="914">
        <v>6</v>
      </c>
      <c r="B115" s="925" t="s">
        <v>1138</v>
      </c>
      <c r="C115" s="925" t="s">
        <v>1139</v>
      </c>
      <c r="D115" s="925" t="s">
        <v>445</v>
      </c>
      <c r="E115" s="925" t="s">
        <v>1185</v>
      </c>
      <c r="F115" s="925" t="s">
        <v>1038</v>
      </c>
      <c r="G115" s="925" t="s">
        <v>1412</v>
      </c>
      <c r="H115" s="925" t="s">
        <v>1423</v>
      </c>
      <c r="I115" s="926"/>
      <c r="J115" s="953">
        <v>2175</v>
      </c>
      <c r="K115" s="925"/>
      <c r="L115" s="942"/>
      <c r="M115" s="927"/>
      <c r="N115" s="851"/>
      <c r="O115" s="855"/>
      <c r="P115" s="398"/>
      <c r="Q115" s="398"/>
    </row>
    <row r="116" spans="1:17" ht="21.95" customHeight="1">
      <c r="A116" s="914">
        <v>7</v>
      </c>
      <c r="B116" s="925" t="s">
        <v>1212</v>
      </c>
      <c r="C116" s="925" t="s">
        <v>1213</v>
      </c>
      <c r="D116" s="925" t="s">
        <v>433</v>
      </c>
      <c r="E116" s="925" t="s">
        <v>1185</v>
      </c>
      <c r="F116" s="925" t="s">
        <v>1402</v>
      </c>
      <c r="G116" s="925" t="s">
        <v>1413</v>
      </c>
      <c r="H116" s="925" t="s">
        <v>1423</v>
      </c>
      <c r="I116" s="926"/>
      <c r="J116" s="953">
        <v>2175</v>
      </c>
      <c r="K116" s="925"/>
      <c r="L116" s="942"/>
      <c r="M116" s="927"/>
      <c r="N116" s="851"/>
      <c r="O116" s="855"/>
      <c r="P116" s="398"/>
      <c r="Q116" s="398"/>
    </row>
    <row r="117" spans="1:17" ht="21.95" customHeight="1">
      <c r="A117" s="914">
        <v>8</v>
      </c>
      <c r="B117" s="925" t="s">
        <v>1305</v>
      </c>
      <c r="C117" s="925" t="s">
        <v>1306</v>
      </c>
      <c r="D117" s="925" t="s">
        <v>433</v>
      </c>
      <c r="E117" s="925" t="s">
        <v>1185</v>
      </c>
      <c r="F117" s="925" t="s">
        <v>1403</v>
      </c>
      <c r="G117" s="925" t="s">
        <v>1414</v>
      </c>
      <c r="H117" s="925" t="s">
        <v>1423</v>
      </c>
      <c r="I117" s="926"/>
      <c r="J117" s="953">
        <v>2175</v>
      </c>
      <c r="K117" s="925"/>
      <c r="L117" s="942"/>
      <c r="M117" s="927"/>
      <c r="N117" s="851"/>
      <c r="O117" s="855"/>
      <c r="P117" s="398"/>
      <c r="Q117" s="398"/>
    </row>
    <row r="118" spans="1:17" ht="21.95" customHeight="1">
      <c r="A118" s="914">
        <v>9</v>
      </c>
      <c r="B118" s="925" t="s">
        <v>1109</v>
      </c>
      <c r="C118" s="925" t="s">
        <v>1110</v>
      </c>
      <c r="D118" s="925" t="s">
        <v>433</v>
      </c>
      <c r="E118" s="925" t="s">
        <v>1185</v>
      </c>
      <c r="F118" s="925" t="s">
        <v>1095</v>
      </c>
      <c r="G118" s="925" t="s">
        <v>1415</v>
      </c>
      <c r="H118" s="925" t="s">
        <v>1423</v>
      </c>
      <c r="I118" s="926"/>
      <c r="J118" s="953">
        <v>2175</v>
      </c>
      <c r="K118" s="925"/>
      <c r="L118" s="942"/>
      <c r="M118" s="927"/>
      <c r="N118" s="851"/>
      <c r="O118" s="855"/>
      <c r="P118" s="398"/>
      <c r="Q118" s="398"/>
    </row>
    <row r="119" spans="1:17" ht="21.95" customHeight="1">
      <c r="A119" s="914">
        <v>10</v>
      </c>
      <c r="B119" s="925" t="s">
        <v>1311</v>
      </c>
      <c r="C119" s="925" t="s">
        <v>1312</v>
      </c>
      <c r="D119" s="925" t="s">
        <v>433</v>
      </c>
      <c r="E119" s="925" t="s">
        <v>1185</v>
      </c>
      <c r="F119" s="925" t="s">
        <v>1095</v>
      </c>
      <c r="G119" s="925" t="s">
        <v>1416</v>
      </c>
      <c r="H119" s="925" t="s">
        <v>1423</v>
      </c>
      <c r="I119" s="926"/>
      <c r="J119" s="953">
        <v>2175</v>
      </c>
      <c r="K119" s="925"/>
      <c r="L119" s="942"/>
      <c r="M119" s="927"/>
      <c r="N119" s="851"/>
      <c r="O119" s="855"/>
      <c r="P119" s="398"/>
      <c r="Q119" s="398"/>
    </row>
    <row r="120" spans="1:17" ht="21.95" customHeight="1">
      <c r="A120" s="914">
        <v>11</v>
      </c>
      <c r="B120" s="925" t="s">
        <v>1205</v>
      </c>
      <c r="C120" s="925" t="s">
        <v>1206</v>
      </c>
      <c r="D120" s="925" t="s">
        <v>445</v>
      </c>
      <c r="E120" s="925" t="s">
        <v>1183</v>
      </c>
      <c r="F120" s="925" t="s">
        <v>1404</v>
      </c>
      <c r="G120" s="925" t="s">
        <v>1535</v>
      </c>
      <c r="H120" s="925" t="s">
        <v>1423</v>
      </c>
      <c r="I120" s="926"/>
      <c r="J120" s="953">
        <v>2175</v>
      </c>
      <c r="K120" s="925"/>
      <c r="L120" s="942"/>
      <c r="M120" s="927"/>
      <c r="N120" s="851"/>
      <c r="O120" s="855"/>
      <c r="P120" s="398"/>
      <c r="Q120" s="398"/>
    </row>
    <row r="121" spans="1:17" ht="21.95" customHeight="1">
      <c r="A121" s="914">
        <v>12</v>
      </c>
      <c r="B121" s="925" t="s">
        <v>1790</v>
      </c>
      <c r="C121" s="925" t="s">
        <v>1791</v>
      </c>
      <c r="D121" s="925" t="s">
        <v>928</v>
      </c>
      <c r="E121" s="925" t="s">
        <v>1184</v>
      </c>
      <c r="F121" s="925" t="s">
        <v>1020</v>
      </c>
      <c r="G121" s="925"/>
      <c r="H121" s="925" t="s">
        <v>1423</v>
      </c>
      <c r="I121" s="926"/>
      <c r="J121" s="953">
        <v>2175</v>
      </c>
      <c r="K121" s="925"/>
      <c r="L121" s="942"/>
      <c r="M121" s="927"/>
      <c r="N121" s="851"/>
      <c r="O121" s="855"/>
      <c r="P121" s="398"/>
      <c r="Q121" s="398"/>
    </row>
    <row r="122" spans="1:17" s="968" customFormat="1" ht="21.95" customHeight="1">
      <c r="A122" s="967">
        <v>13</v>
      </c>
      <c r="B122" s="975" t="s">
        <v>1194</v>
      </c>
      <c r="C122" s="975" t="s">
        <v>1195</v>
      </c>
      <c r="D122" s="975" t="s">
        <v>647</v>
      </c>
      <c r="E122" s="975" t="s">
        <v>1183</v>
      </c>
      <c r="F122" s="975" t="s">
        <v>1405</v>
      </c>
      <c r="G122" s="975" t="s">
        <v>1536</v>
      </c>
      <c r="H122" s="975" t="s">
        <v>1423</v>
      </c>
      <c r="I122" s="976"/>
      <c r="J122" s="977"/>
      <c r="K122" s="975"/>
      <c r="L122" s="978" t="s">
        <v>1426</v>
      </c>
      <c r="M122" s="979"/>
      <c r="N122" s="980"/>
      <c r="O122" s="855"/>
      <c r="P122" s="398"/>
      <c r="Q122" s="969"/>
    </row>
    <row r="123" spans="1:17" ht="21.95" customHeight="1">
      <c r="A123" s="914">
        <v>14</v>
      </c>
      <c r="B123" s="925" t="s">
        <v>1137</v>
      </c>
      <c r="C123" s="925" t="s">
        <v>1076</v>
      </c>
      <c r="D123" s="925" t="s">
        <v>445</v>
      </c>
      <c r="E123" s="925" t="s">
        <v>1185</v>
      </c>
      <c r="F123" s="925" t="s">
        <v>1405</v>
      </c>
      <c r="G123" s="925" t="s">
        <v>1537</v>
      </c>
      <c r="H123" s="925" t="s">
        <v>1423</v>
      </c>
      <c r="I123" s="926"/>
      <c r="J123" s="953">
        <v>2175</v>
      </c>
      <c r="K123" s="925"/>
      <c r="L123" s="942"/>
      <c r="M123" s="927"/>
      <c r="N123" s="851"/>
      <c r="O123" s="855"/>
      <c r="P123" s="398"/>
      <c r="Q123" s="398"/>
    </row>
    <row r="124" spans="1:17" ht="21.95" customHeight="1">
      <c r="A124" s="914">
        <v>15</v>
      </c>
      <c r="B124" s="925" t="s">
        <v>1134</v>
      </c>
      <c r="C124" s="925" t="s">
        <v>1135</v>
      </c>
      <c r="D124" s="925" t="s">
        <v>445</v>
      </c>
      <c r="E124" s="925" t="s">
        <v>1185</v>
      </c>
      <c r="F124" s="925" t="s">
        <v>1020</v>
      </c>
      <c r="G124" s="957" t="s">
        <v>1538</v>
      </c>
      <c r="H124" s="959" t="s">
        <v>1423</v>
      </c>
      <c r="I124" s="926"/>
      <c r="J124" s="953">
        <v>2175</v>
      </c>
      <c r="K124" s="925"/>
      <c r="L124" s="942"/>
      <c r="M124" s="927"/>
      <c r="N124" s="851"/>
      <c r="O124" s="855"/>
      <c r="P124" s="398"/>
      <c r="Q124" s="398"/>
    </row>
    <row r="125" spans="1:17" ht="21.95" customHeight="1">
      <c r="A125" s="914">
        <v>16</v>
      </c>
      <c r="B125" s="925" t="s">
        <v>1136</v>
      </c>
      <c r="C125" s="925" t="s">
        <v>990</v>
      </c>
      <c r="D125" s="925" t="s">
        <v>433</v>
      </c>
      <c r="E125" s="925" t="s">
        <v>1185</v>
      </c>
      <c r="F125" s="925" t="s">
        <v>1406</v>
      </c>
      <c r="G125" s="957" t="s">
        <v>1539</v>
      </c>
      <c r="H125" s="959" t="s">
        <v>1423</v>
      </c>
      <c r="I125" s="926"/>
      <c r="J125" s="953">
        <v>2175</v>
      </c>
      <c r="K125" s="925"/>
      <c r="L125" s="942"/>
      <c r="M125" s="927"/>
      <c r="N125" s="851"/>
      <c r="O125" s="855"/>
      <c r="P125" s="398"/>
      <c r="Q125" s="398"/>
    </row>
    <row r="126" spans="1:17" ht="21.95" customHeight="1">
      <c r="A126" s="914">
        <v>17</v>
      </c>
      <c r="B126" s="925" t="s">
        <v>1214</v>
      </c>
      <c r="C126" s="957" t="s">
        <v>1540</v>
      </c>
      <c r="D126" s="930" t="s">
        <v>433</v>
      </c>
      <c r="E126" s="925" t="s">
        <v>1185</v>
      </c>
      <c r="F126" s="925" t="s">
        <v>1541</v>
      </c>
      <c r="G126" s="957" t="s">
        <v>1542</v>
      </c>
      <c r="H126" s="959" t="s">
        <v>1423</v>
      </c>
      <c r="I126" s="925"/>
      <c r="J126" s="953">
        <v>2175</v>
      </c>
      <c r="K126" s="925"/>
      <c r="L126" s="942"/>
      <c r="M126" s="927"/>
      <c r="N126" s="851"/>
      <c r="O126" s="855"/>
      <c r="P126" s="398"/>
      <c r="Q126" s="398"/>
    </row>
    <row r="127" spans="1:17" ht="21.95" customHeight="1">
      <c r="A127" s="914">
        <v>18</v>
      </c>
      <c r="B127" s="925" t="s">
        <v>1438</v>
      </c>
      <c r="C127" s="925" t="s">
        <v>1439</v>
      </c>
      <c r="D127" s="925" t="s">
        <v>445</v>
      </c>
      <c r="E127" s="925" t="s">
        <v>1185</v>
      </c>
      <c r="F127" s="925" t="s">
        <v>1543</v>
      </c>
      <c r="G127" s="957" t="s">
        <v>1544</v>
      </c>
      <c r="H127" s="959" t="s">
        <v>1423</v>
      </c>
      <c r="I127" s="925"/>
      <c r="J127" s="953">
        <v>2175</v>
      </c>
      <c r="K127" s="925"/>
      <c r="L127" s="942"/>
      <c r="M127" s="927"/>
      <c r="N127" s="851"/>
      <c r="O127" s="855"/>
      <c r="P127" s="398"/>
      <c r="Q127" s="398"/>
    </row>
    <row r="128" spans="1:17" ht="21.95" customHeight="1">
      <c r="A128" s="914">
        <v>19</v>
      </c>
      <c r="B128" s="925" t="s">
        <v>1222</v>
      </c>
      <c r="C128" s="925" t="s">
        <v>1189</v>
      </c>
      <c r="D128" s="925" t="s">
        <v>445</v>
      </c>
      <c r="E128" s="925" t="s">
        <v>1185</v>
      </c>
      <c r="F128" s="925" t="s">
        <v>1425</v>
      </c>
      <c r="G128" s="957" t="s">
        <v>1545</v>
      </c>
      <c r="H128" s="959" t="s">
        <v>1423</v>
      </c>
      <c r="I128" s="925"/>
      <c r="J128" s="953">
        <v>2175</v>
      </c>
      <c r="K128" s="925"/>
      <c r="L128" s="942"/>
      <c r="M128" s="927"/>
      <c r="N128" s="851"/>
      <c r="O128" s="855"/>
      <c r="P128" s="398"/>
      <c r="Q128" s="398"/>
    </row>
    <row r="129" spans="1:17" ht="21.95" customHeight="1">
      <c r="A129" s="914">
        <v>20</v>
      </c>
      <c r="B129" s="925" t="s">
        <v>662</v>
      </c>
      <c r="C129" s="925" t="s">
        <v>663</v>
      </c>
      <c r="D129" s="925" t="s">
        <v>564</v>
      </c>
      <c r="E129" s="925" t="s">
        <v>1399</v>
      </c>
      <c r="F129" s="925" t="s">
        <v>1006</v>
      </c>
      <c r="G129" s="957" t="s">
        <v>1417</v>
      </c>
      <c r="H129" s="959" t="s">
        <v>1423</v>
      </c>
      <c r="I129" s="926"/>
      <c r="J129" s="953">
        <v>2175</v>
      </c>
      <c r="K129" s="925"/>
      <c r="L129" s="942"/>
      <c r="M129" s="927"/>
      <c r="N129" s="851"/>
      <c r="O129" s="855"/>
      <c r="P129" s="398"/>
      <c r="Q129" s="398"/>
    </row>
    <row r="130" spans="1:17" ht="21.95" customHeight="1">
      <c r="A130" s="914">
        <v>21</v>
      </c>
      <c r="B130" s="925" t="s">
        <v>964</v>
      </c>
      <c r="C130" s="925" t="s">
        <v>965</v>
      </c>
      <c r="D130" s="925" t="s">
        <v>435</v>
      </c>
      <c r="E130" s="925" t="s">
        <v>1400</v>
      </c>
      <c r="F130" s="925" t="s">
        <v>996</v>
      </c>
      <c r="G130" s="957" t="s">
        <v>1418</v>
      </c>
      <c r="H130" s="959" t="s">
        <v>1424</v>
      </c>
      <c r="I130" s="926"/>
      <c r="J130" s="953">
        <v>2000</v>
      </c>
      <c r="K130" s="925" t="s">
        <v>996</v>
      </c>
      <c r="L130" s="942"/>
      <c r="M130" s="927"/>
      <c r="N130" s="851"/>
      <c r="O130" s="855"/>
      <c r="P130" s="398"/>
      <c r="Q130" s="398"/>
    </row>
    <row r="131" spans="1:17" ht="21.95" customHeight="1">
      <c r="A131" s="914">
        <v>22</v>
      </c>
      <c r="B131" s="925" t="s">
        <v>1237</v>
      </c>
      <c r="C131" s="925" t="s">
        <v>1238</v>
      </c>
      <c r="D131" s="925" t="s">
        <v>435</v>
      </c>
      <c r="E131" s="925" t="s">
        <v>1400</v>
      </c>
      <c r="F131" s="925" t="s">
        <v>996</v>
      </c>
      <c r="G131" s="957" t="s">
        <v>1419</v>
      </c>
      <c r="H131" s="882" t="s">
        <v>1424</v>
      </c>
      <c r="I131" s="926"/>
      <c r="J131" s="953">
        <v>2000</v>
      </c>
      <c r="K131" s="925" t="s">
        <v>996</v>
      </c>
      <c r="L131" s="942"/>
      <c r="M131" s="927"/>
      <c r="N131" s="851"/>
      <c r="O131" s="855"/>
      <c r="P131" s="398"/>
      <c r="Q131" s="398"/>
    </row>
    <row r="132" spans="1:17" ht="21.95" customHeight="1">
      <c r="A132" s="914">
        <v>23</v>
      </c>
      <c r="B132" s="925" t="s">
        <v>1328</v>
      </c>
      <c r="C132" s="925" t="s">
        <v>1329</v>
      </c>
      <c r="D132" s="925" t="s">
        <v>435</v>
      </c>
      <c r="E132" s="925" t="s">
        <v>1400</v>
      </c>
      <c r="F132" s="925" t="s">
        <v>996</v>
      </c>
      <c r="G132" s="957" t="s">
        <v>1420</v>
      </c>
      <c r="H132" s="882" t="s">
        <v>1424</v>
      </c>
      <c r="I132" s="926"/>
      <c r="J132" s="953">
        <v>2000</v>
      </c>
      <c r="K132" s="925" t="s">
        <v>996</v>
      </c>
      <c r="L132" s="942"/>
      <c r="M132" s="927"/>
      <c r="N132" s="851"/>
      <c r="O132" s="855"/>
      <c r="P132" s="398"/>
      <c r="Q132" s="398"/>
    </row>
    <row r="133" spans="1:17" ht="21.95" customHeight="1">
      <c r="A133" s="914">
        <v>24</v>
      </c>
      <c r="B133" s="925" t="s">
        <v>860</v>
      </c>
      <c r="C133" s="925" t="s">
        <v>1398</v>
      </c>
      <c r="D133" s="925" t="s">
        <v>435</v>
      </c>
      <c r="E133" s="925" t="s">
        <v>1400</v>
      </c>
      <c r="F133" s="925" t="s">
        <v>985</v>
      </c>
      <c r="G133" s="957" t="s">
        <v>1421</v>
      </c>
      <c r="H133" s="882" t="s">
        <v>1424</v>
      </c>
      <c r="I133" s="926"/>
      <c r="J133" s="953">
        <v>2000</v>
      </c>
      <c r="K133" s="925" t="s">
        <v>982</v>
      </c>
      <c r="L133" s="942"/>
      <c r="M133" s="927"/>
      <c r="N133" s="851"/>
      <c r="O133" s="855"/>
      <c r="P133" s="398"/>
      <c r="Q133" s="398"/>
    </row>
    <row r="134" spans="1:17" ht="21.95" customHeight="1">
      <c r="A134" s="920">
        <v>25</v>
      </c>
      <c r="B134" s="958" t="s">
        <v>1292</v>
      </c>
      <c r="C134" s="958" t="s">
        <v>1293</v>
      </c>
      <c r="D134" s="958" t="s">
        <v>435</v>
      </c>
      <c r="E134" s="958" t="s">
        <v>1400</v>
      </c>
      <c r="F134" s="958" t="s">
        <v>982</v>
      </c>
      <c r="G134" s="960" t="s">
        <v>1422</v>
      </c>
      <c r="H134" s="961" t="s">
        <v>1424</v>
      </c>
      <c r="I134" s="932"/>
      <c r="J134" s="955">
        <v>2000</v>
      </c>
      <c r="K134" s="931" t="s">
        <v>982</v>
      </c>
      <c r="L134" s="943"/>
      <c r="M134" s="933"/>
      <c r="N134" s="851"/>
      <c r="O134" s="855"/>
      <c r="Q134" s="398"/>
    </row>
    <row r="135" spans="1:17" ht="21.95" customHeight="1">
      <c r="A135" s="399" t="s">
        <v>67</v>
      </c>
      <c r="B135" s="399"/>
      <c r="C135" s="863"/>
      <c r="D135" s="399"/>
      <c r="E135" s="399"/>
      <c r="F135" s="399"/>
      <c r="G135" s="399"/>
      <c r="H135" s="864"/>
      <c r="I135" s="399"/>
      <c r="J135" s="862">
        <f>SUM(J110:J134)</f>
        <v>51325</v>
      </c>
      <c r="K135" s="863"/>
      <c r="L135" s="863"/>
      <c r="M135" s="399"/>
      <c r="N135" s="851"/>
      <c r="Q135" s="398"/>
    </row>
    <row r="136" spans="1:17" ht="21.95" customHeight="1">
      <c r="A136" s="851" t="s">
        <v>1899</v>
      </c>
      <c r="B136" s="851"/>
      <c r="C136" s="851"/>
      <c r="D136" s="851"/>
      <c r="E136" s="851"/>
      <c r="F136" s="851"/>
      <c r="G136" s="851"/>
      <c r="H136" s="851"/>
      <c r="I136" s="851"/>
      <c r="J136" s="851"/>
      <c r="K136" s="851"/>
      <c r="L136" s="851"/>
      <c r="M136" s="851"/>
      <c r="N136" s="851"/>
      <c r="Q136" s="398"/>
    </row>
    <row r="137" spans="1:17" ht="31.5" customHeight="1">
      <c r="A137" s="863"/>
      <c r="B137" s="245" t="s">
        <v>1670</v>
      </c>
      <c r="C137" s="245" t="s">
        <v>1671</v>
      </c>
      <c r="D137" s="244" t="s">
        <v>890</v>
      </c>
      <c r="E137" s="245" t="s">
        <v>203</v>
      </c>
      <c r="F137" s="245"/>
      <c r="G137" s="863"/>
      <c r="H137" s="863"/>
      <c r="I137" s="863"/>
      <c r="J137" s="870">
        <v>-2160</v>
      </c>
      <c r="K137" s="863"/>
      <c r="L137" s="863"/>
      <c r="M137" s="863"/>
      <c r="N137" s="851"/>
      <c r="Q137" s="398"/>
    </row>
    <row r="138" spans="1:17" ht="21.95" customHeight="1">
      <c r="A138" s="1090"/>
      <c r="B138" s="1090"/>
      <c r="C138" s="1090"/>
      <c r="D138" s="1090"/>
      <c r="E138" s="1090"/>
      <c r="F138" s="1090"/>
      <c r="G138" s="1090"/>
      <c r="H138" s="1090"/>
      <c r="I138" s="1090"/>
      <c r="J138" s="1090"/>
      <c r="K138" s="1090"/>
      <c r="L138" s="1090"/>
      <c r="M138" s="1090"/>
      <c r="N138" s="851"/>
      <c r="Q138" s="398"/>
    </row>
    <row r="139" spans="1:17" ht="21.95" customHeight="1">
      <c r="A139" s="1219">
        <f>COUNT(A7:A136)</f>
        <v>124</v>
      </c>
      <c r="B139" s="1219"/>
      <c r="C139" s="245"/>
      <c r="D139" s="372"/>
      <c r="E139" s="372"/>
      <c r="F139" s="372"/>
      <c r="G139" s="372"/>
      <c r="H139" s="372"/>
      <c r="I139" s="372"/>
      <c r="J139" s="870">
        <f>J108+J51+J135+J137</f>
        <v>197067</v>
      </c>
      <c r="K139" s="245"/>
      <c r="L139" s="245"/>
      <c r="M139" s="372"/>
      <c r="Q139" s="398"/>
    </row>
    <row r="151" spans="3:18" s="289" customFormat="1" ht="15.75">
      <c r="C151" s="298" t="s">
        <v>495</v>
      </c>
      <c r="D151" s="299"/>
      <c r="E151" s="1218" t="s">
        <v>496</v>
      </c>
      <c r="F151" s="1218"/>
      <c r="G151" s="1218"/>
      <c r="H151" s="375"/>
      <c r="I151" s="300"/>
      <c r="J151" s="300"/>
      <c r="K151" s="301"/>
      <c r="L151" s="298" t="s">
        <v>497</v>
      </c>
      <c r="M151" s="422"/>
      <c r="N151" s="425"/>
      <c r="O151" s="425"/>
      <c r="P151" s="540"/>
      <c r="Q151" s="391"/>
      <c r="R151" s="290"/>
    </row>
  </sheetData>
  <autoFilter ref="A5:M135" xr:uid="{00000000-0009-0000-0000-000014000000}"/>
  <mergeCells count="5">
    <mergeCell ref="E151:G151"/>
    <mergeCell ref="A139:B139"/>
    <mergeCell ref="A3:M3"/>
    <mergeCell ref="A1:M1"/>
    <mergeCell ref="A2:M2"/>
  </mergeCells>
  <conditionalFormatting sqref="B53:B107 B7:B51">
    <cfRule type="duplicateValues" dxfId="3" priority="3"/>
  </conditionalFormatting>
  <conditionalFormatting sqref="B140:B150 B1:B5 B7:B51 B110:B138 B53:B108 B152:B1048576">
    <cfRule type="duplicateValues" dxfId="2" priority="2"/>
  </conditionalFormatting>
  <conditionalFormatting sqref="T151">
    <cfRule type="duplicateValues" dxfId="1" priority="1"/>
  </conditionalFormatting>
  <printOptions horizontalCentered="1"/>
  <pageMargins left="0.31496062992125984" right="0.31496062992125984" top="0.55118110236220474" bottom="0.78740157480314965" header="0.31496062992125984" footer="0.11811023622047245"/>
  <pageSetup paperSize="9" scale="59" orientation="landscape" horizontalDpi="300" verticalDpi="300" r:id="rId1"/>
  <rowBreaks count="2" manualBreakCount="2">
    <brk id="77" max="12" man="1"/>
    <brk id="115" max="12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0">
    <tabColor rgb="FFC00000"/>
  </sheetPr>
  <dimension ref="A1:T51"/>
  <sheetViews>
    <sheetView view="pageBreakPreview" zoomScaleNormal="100" zoomScaleSheetLayoutView="100" workbookViewId="0">
      <selection activeCell="M8" sqref="M8"/>
    </sheetView>
  </sheetViews>
  <sheetFormatPr defaultColWidth="9" defaultRowHeight="15.75"/>
  <cols>
    <col min="1" max="1" width="3.85546875" style="566" customWidth="1"/>
    <col min="2" max="2" width="15.5703125" style="566" customWidth="1"/>
    <col min="3" max="3" width="24" style="585" customWidth="1"/>
    <col min="4" max="4" width="17.42578125" style="586" customWidth="1"/>
    <col min="5" max="5" width="8.28515625" style="566" customWidth="1"/>
    <col min="6" max="6" width="9.85546875" style="584" customWidth="1"/>
    <col min="7" max="7" width="9.140625" style="584" customWidth="1"/>
    <col min="8" max="8" width="9.28515625" style="584" customWidth="1"/>
    <col min="9" max="9" width="11.7109375" style="566" customWidth="1"/>
    <col min="10" max="10" width="13.85546875" style="566" customWidth="1"/>
    <col min="11" max="16384" width="9" style="566"/>
  </cols>
  <sheetData>
    <row r="1" spans="1:20" ht="23.25">
      <c r="A1" s="1226" t="s">
        <v>878</v>
      </c>
      <c r="B1" s="1226"/>
      <c r="C1" s="1226"/>
      <c r="D1" s="1226"/>
      <c r="E1" s="1226"/>
      <c r="F1" s="1226"/>
      <c r="G1" s="1226"/>
      <c r="H1" s="1226"/>
      <c r="I1" s="1226"/>
      <c r="J1" s="1226"/>
      <c r="K1" s="303"/>
      <c r="L1" s="303"/>
      <c r="M1" s="303"/>
      <c r="N1" s="303"/>
      <c r="O1" s="303"/>
      <c r="P1" s="303"/>
      <c r="Q1" s="303"/>
      <c r="R1" s="303"/>
      <c r="S1" s="303"/>
      <c r="T1" s="303"/>
    </row>
    <row r="2" spans="1:20">
      <c r="A2" s="1227" t="s">
        <v>636</v>
      </c>
      <c r="B2" s="1227"/>
      <c r="C2" s="1227"/>
      <c r="D2" s="1227"/>
      <c r="E2" s="1227"/>
      <c r="F2" s="1227"/>
      <c r="G2" s="1227"/>
      <c r="H2" s="1227"/>
      <c r="I2" s="1227"/>
      <c r="J2" s="1227"/>
    </row>
    <row r="3" spans="1:20" s="567" customFormat="1" ht="15">
      <c r="A3" s="1228" t="s">
        <v>1836</v>
      </c>
      <c r="B3" s="1228"/>
      <c r="C3" s="1228"/>
      <c r="D3" s="1228"/>
      <c r="E3" s="1228"/>
      <c r="F3" s="1228"/>
      <c r="G3" s="1228"/>
      <c r="H3" s="1228"/>
      <c r="I3" s="1228"/>
      <c r="J3" s="1228"/>
    </row>
    <row r="4" spans="1:20" s="567" customFormat="1" ht="15">
      <c r="A4" s="1229" t="s">
        <v>574</v>
      </c>
      <c r="B4" s="1229"/>
      <c r="C4" s="1229"/>
      <c r="D4" s="461"/>
      <c r="E4" s="1230" t="s">
        <v>1354</v>
      </c>
      <c r="F4" s="1230"/>
      <c r="G4" s="1230"/>
      <c r="H4" s="1230"/>
      <c r="I4" s="1230"/>
      <c r="J4" s="1230"/>
    </row>
    <row r="5" spans="1:20" s="567" customFormat="1" ht="25.5">
      <c r="A5" s="1116" t="s">
        <v>575</v>
      </c>
      <c r="B5" s="1116" t="s">
        <v>576</v>
      </c>
      <c r="C5" s="1116" t="s">
        <v>577</v>
      </c>
      <c r="D5" s="1117" t="s">
        <v>578</v>
      </c>
      <c r="E5" s="1117" t="s">
        <v>579</v>
      </c>
      <c r="F5" s="1118" t="s">
        <v>580</v>
      </c>
      <c r="G5" s="1118" t="s">
        <v>581</v>
      </c>
      <c r="H5" s="1118" t="s">
        <v>582</v>
      </c>
      <c r="I5" s="1117" t="s">
        <v>598</v>
      </c>
      <c r="J5" s="1117" t="s">
        <v>583</v>
      </c>
    </row>
    <row r="6" spans="1:20" s="573" customFormat="1" ht="30" customHeight="1">
      <c r="A6" s="568">
        <v>1</v>
      </c>
      <c r="B6" s="569" t="s">
        <v>257</v>
      </c>
      <c r="C6" s="570" t="s">
        <v>258</v>
      </c>
      <c r="D6" s="571" t="s">
        <v>722</v>
      </c>
      <c r="E6" s="568">
        <v>25</v>
      </c>
      <c r="F6" s="572">
        <v>3750</v>
      </c>
      <c r="G6" s="572">
        <v>1875</v>
      </c>
      <c r="H6" s="572">
        <v>1875</v>
      </c>
      <c r="I6" s="569"/>
      <c r="J6" s="569"/>
      <c r="N6" s="574"/>
    </row>
    <row r="7" spans="1:20" s="573" customFormat="1" ht="30" customHeight="1">
      <c r="A7" s="575">
        <v>2</v>
      </c>
      <c r="B7" s="576" t="s">
        <v>338</v>
      </c>
      <c r="C7" s="577" t="s">
        <v>427</v>
      </c>
      <c r="D7" s="578" t="s">
        <v>723</v>
      </c>
      <c r="E7" s="575">
        <v>14</v>
      </c>
      <c r="F7" s="579">
        <v>2100</v>
      </c>
      <c r="G7" s="579">
        <v>1050</v>
      </c>
      <c r="H7" s="579">
        <v>1050</v>
      </c>
      <c r="I7" s="576"/>
      <c r="J7" s="576"/>
      <c r="N7" s="574"/>
    </row>
    <row r="8" spans="1:20" s="573" customFormat="1" ht="30" customHeight="1">
      <c r="A8" s="575">
        <v>3</v>
      </c>
      <c r="B8" s="576" t="s">
        <v>253</v>
      </c>
      <c r="C8" s="577" t="s">
        <v>1395</v>
      </c>
      <c r="D8" s="578" t="s">
        <v>1396</v>
      </c>
      <c r="E8" s="575">
        <v>25</v>
      </c>
      <c r="F8" s="579">
        <v>3750</v>
      </c>
      <c r="G8" s="579">
        <v>1875</v>
      </c>
      <c r="H8" s="579">
        <v>1875</v>
      </c>
      <c r="I8" s="576"/>
      <c r="J8" s="576"/>
      <c r="N8" s="574"/>
    </row>
    <row r="9" spans="1:20" s="573" customFormat="1" ht="30" customHeight="1">
      <c r="A9" s="575">
        <v>4</v>
      </c>
      <c r="B9" s="576" t="s">
        <v>49</v>
      </c>
      <c r="C9" s="577" t="s">
        <v>50</v>
      </c>
      <c r="D9" s="578" t="s">
        <v>436</v>
      </c>
      <c r="E9" s="575">
        <v>26</v>
      </c>
      <c r="F9" s="579">
        <v>3900</v>
      </c>
      <c r="G9" s="579">
        <v>1950</v>
      </c>
      <c r="H9" s="579">
        <v>1950</v>
      </c>
      <c r="I9" s="576"/>
      <c r="J9" s="576"/>
      <c r="N9" s="574"/>
    </row>
    <row r="10" spans="1:20" s="573" customFormat="1" ht="30" customHeight="1">
      <c r="A10" s="575">
        <v>5</v>
      </c>
      <c r="B10" s="576" t="s">
        <v>58</v>
      </c>
      <c r="C10" s="577" t="s">
        <v>59</v>
      </c>
      <c r="D10" s="578" t="s">
        <v>483</v>
      </c>
      <c r="E10" s="575">
        <v>25</v>
      </c>
      <c r="F10" s="579">
        <v>3750</v>
      </c>
      <c r="G10" s="579">
        <v>1875</v>
      </c>
      <c r="H10" s="579">
        <v>1875</v>
      </c>
      <c r="I10" s="576"/>
      <c r="J10" s="576"/>
      <c r="N10" s="574"/>
    </row>
    <row r="11" spans="1:20" s="573" customFormat="1" ht="30" customHeight="1">
      <c r="A11" s="575">
        <v>6</v>
      </c>
      <c r="B11" s="576" t="s">
        <v>268</v>
      </c>
      <c r="C11" s="577" t="s">
        <v>269</v>
      </c>
      <c r="D11" s="578" t="s">
        <v>484</v>
      </c>
      <c r="E11" s="575">
        <v>5</v>
      </c>
      <c r="F11" s="579">
        <v>750</v>
      </c>
      <c r="G11" s="579">
        <v>375</v>
      </c>
      <c r="H11" s="579">
        <v>375</v>
      </c>
      <c r="I11" s="576"/>
      <c r="J11" s="576"/>
      <c r="N11" s="574"/>
    </row>
    <row r="12" spans="1:20" s="573" customFormat="1" ht="30" customHeight="1">
      <c r="A12" s="575">
        <v>7</v>
      </c>
      <c r="B12" s="576" t="s">
        <v>343</v>
      </c>
      <c r="C12" s="577" t="s">
        <v>344</v>
      </c>
      <c r="D12" s="578" t="s">
        <v>1866</v>
      </c>
      <c r="E12" s="575">
        <v>18</v>
      </c>
      <c r="F12" s="579">
        <v>2700</v>
      </c>
      <c r="G12" s="579">
        <v>1350</v>
      </c>
      <c r="H12" s="579">
        <v>1350</v>
      </c>
      <c r="I12" s="576"/>
      <c r="J12" s="576"/>
      <c r="N12" s="574"/>
    </row>
    <row r="13" spans="1:20" s="573" customFormat="1" ht="30" customHeight="1">
      <c r="A13" s="575">
        <v>8</v>
      </c>
      <c r="B13" s="576" t="s">
        <v>169</v>
      </c>
      <c r="C13" s="577" t="s">
        <v>170</v>
      </c>
      <c r="D13" s="578" t="s">
        <v>487</v>
      </c>
      <c r="E13" s="575">
        <v>4</v>
      </c>
      <c r="F13" s="579">
        <v>600</v>
      </c>
      <c r="G13" s="579">
        <v>300</v>
      </c>
      <c r="H13" s="579">
        <v>300</v>
      </c>
      <c r="I13" s="576"/>
      <c r="J13" s="576"/>
      <c r="N13" s="574"/>
    </row>
    <row r="14" spans="1:20" s="573" customFormat="1" ht="30" customHeight="1">
      <c r="A14" s="575">
        <v>9</v>
      </c>
      <c r="B14" s="576" t="s">
        <v>113</v>
      </c>
      <c r="C14" s="577" t="s">
        <v>114</v>
      </c>
      <c r="D14" s="578" t="s">
        <v>461</v>
      </c>
      <c r="E14" s="575">
        <v>24</v>
      </c>
      <c r="F14" s="579">
        <v>3600</v>
      </c>
      <c r="G14" s="579">
        <v>1800</v>
      </c>
      <c r="H14" s="579">
        <v>1800</v>
      </c>
      <c r="I14" s="576"/>
      <c r="J14" s="576"/>
      <c r="N14" s="574"/>
    </row>
    <row r="15" spans="1:20" s="573" customFormat="1" ht="30" customHeight="1">
      <c r="A15" s="575">
        <v>10</v>
      </c>
      <c r="B15" s="576" t="s">
        <v>888</v>
      </c>
      <c r="C15" s="576" t="s">
        <v>889</v>
      </c>
      <c r="D15" s="578" t="s">
        <v>1267</v>
      </c>
      <c r="E15" s="575">
        <v>22</v>
      </c>
      <c r="F15" s="579">
        <v>3300</v>
      </c>
      <c r="G15" s="579">
        <v>1650</v>
      </c>
      <c r="H15" s="579">
        <v>1650</v>
      </c>
      <c r="I15" s="576"/>
      <c r="J15" s="576"/>
      <c r="N15" s="574"/>
    </row>
    <row r="16" spans="1:20" s="573" customFormat="1" ht="30" customHeight="1">
      <c r="A16" s="575">
        <v>11</v>
      </c>
      <c r="B16" s="576" t="s">
        <v>1112</v>
      </c>
      <c r="C16" s="576" t="s">
        <v>1475</v>
      </c>
      <c r="D16" s="578" t="s">
        <v>1867</v>
      </c>
      <c r="E16" s="575">
        <v>5</v>
      </c>
      <c r="F16" s="579">
        <v>750</v>
      </c>
      <c r="G16" s="579">
        <v>375</v>
      </c>
      <c r="H16" s="579">
        <v>375</v>
      </c>
      <c r="I16" s="576"/>
      <c r="J16" s="576"/>
      <c r="N16" s="574"/>
    </row>
    <row r="17" spans="1:14" s="573" customFormat="1" ht="30" customHeight="1">
      <c r="A17" s="575">
        <v>12</v>
      </c>
      <c r="B17" s="576" t="s">
        <v>118</v>
      </c>
      <c r="C17" s="576" t="s">
        <v>119</v>
      </c>
      <c r="D17" s="578" t="s">
        <v>432</v>
      </c>
      <c r="E17" s="575">
        <v>6</v>
      </c>
      <c r="F17" s="579">
        <v>900</v>
      </c>
      <c r="G17" s="579">
        <v>450</v>
      </c>
      <c r="H17" s="579">
        <v>450</v>
      </c>
      <c r="I17" s="576"/>
      <c r="J17" s="576"/>
      <c r="N17" s="574"/>
    </row>
    <row r="18" spans="1:14" s="573" customFormat="1" ht="30" customHeight="1">
      <c r="A18" s="575">
        <v>13</v>
      </c>
      <c r="B18" s="576" t="s">
        <v>1174</v>
      </c>
      <c r="C18" s="576" t="s">
        <v>1175</v>
      </c>
      <c r="D18" s="578" t="s">
        <v>1868</v>
      </c>
      <c r="E18" s="575">
        <v>5</v>
      </c>
      <c r="F18" s="579">
        <v>750</v>
      </c>
      <c r="G18" s="579">
        <v>375</v>
      </c>
      <c r="H18" s="579">
        <v>375</v>
      </c>
      <c r="I18" s="576"/>
      <c r="J18" s="576"/>
      <c r="N18" s="574"/>
    </row>
    <row r="19" spans="1:14" s="573" customFormat="1" ht="30" customHeight="1">
      <c r="A19" s="575">
        <v>14</v>
      </c>
      <c r="B19" s="576" t="s">
        <v>64</v>
      </c>
      <c r="C19" s="576" t="s">
        <v>486</v>
      </c>
      <c r="D19" s="578" t="s">
        <v>423</v>
      </c>
      <c r="E19" s="575">
        <v>25</v>
      </c>
      <c r="F19" s="579">
        <v>3750</v>
      </c>
      <c r="G19" s="579">
        <v>1875</v>
      </c>
      <c r="H19" s="579">
        <v>1875</v>
      </c>
      <c r="I19" s="576"/>
      <c r="J19" s="576"/>
      <c r="N19" s="574"/>
    </row>
    <row r="20" spans="1:14" s="573" customFormat="1" ht="44.25" customHeight="1">
      <c r="A20" s="575">
        <v>15</v>
      </c>
      <c r="B20" s="576" t="s">
        <v>1366</v>
      </c>
      <c r="C20" s="576" t="s">
        <v>1367</v>
      </c>
      <c r="D20" s="578" t="s">
        <v>1368</v>
      </c>
      <c r="E20" s="575">
        <v>15</v>
      </c>
      <c r="F20" s="579">
        <v>2250</v>
      </c>
      <c r="G20" s="579">
        <v>1125</v>
      </c>
      <c r="H20" s="579">
        <v>1125</v>
      </c>
      <c r="I20" s="576"/>
      <c r="J20" s="576"/>
      <c r="N20" s="574"/>
    </row>
    <row r="21" spans="1:14" s="573" customFormat="1" ht="30" hidden="1" customHeight="1">
      <c r="A21" s="575"/>
      <c r="B21" s="576"/>
      <c r="C21" s="576"/>
      <c r="D21" s="578"/>
      <c r="E21" s="575"/>
      <c r="F21" s="579"/>
      <c r="G21" s="579"/>
      <c r="H21" s="579"/>
      <c r="I21" s="576"/>
      <c r="J21" s="576"/>
      <c r="N21" s="574"/>
    </row>
    <row r="22" spans="1:14" s="573" customFormat="1" ht="30" hidden="1" customHeight="1">
      <c r="A22" s="575"/>
      <c r="B22" s="576"/>
      <c r="C22" s="576"/>
      <c r="D22" s="578"/>
      <c r="E22" s="575"/>
      <c r="F22" s="579"/>
      <c r="G22" s="579"/>
      <c r="H22" s="579"/>
      <c r="I22" s="576"/>
      <c r="J22" s="576"/>
      <c r="N22" s="574"/>
    </row>
    <row r="23" spans="1:14" s="573" customFormat="1" ht="30" hidden="1" customHeight="1">
      <c r="A23" s="575"/>
      <c r="B23" s="576"/>
      <c r="C23" s="576"/>
      <c r="D23" s="578"/>
      <c r="E23" s="575"/>
      <c r="F23" s="579"/>
      <c r="G23" s="579"/>
      <c r="H23" s="579"/>
      <c r="I23" s="576"/>
      <c r="J23" s="576"/>
      <c r="N23" s="574"/>
    </row>
    <row r="24" spans="1:14" s="573" customFormat="1" ht="30" hidden="1" customHeight="1">
      <c r="A24" s="575"/>
      <c r="B24" s="576"/>
      <c r="C24" s="576"/>
      <c r="D24" s="578"/>
      <c r="E24" s="575"/>
      <c r="F24" s="579"/>
      <c r="G24" s="579"/>
      <c r="H24" s="579"/>
      <c r="I24" s="576"/>
      <c r="J24" s="576"/>
      <c r="N24" s="574"/>
    </row>
    <row r="25" spans="1:14" s="573" customFormat="1" ht="30" hidden="1" customHeight="1">
      <c r="A25" s="575"/>
      <c r="B25" s="576"/>
      <c r="C25" s="576"/>
      <c r="D25" s="578"/>
      <c r="E25" s="575"/>
      <c r="F25" s="579"/>
      <c r="G25" s="579"/>
      <c r="H25" s="579"/>
      <c r="I25" s="576"/>
      <c r="J25" s="576"/>
      <c r="N25" s="574"/>
    </row>
    <row r="26" spans="1:14" s="573" customFormat="1" ht="30" hidden="1" customHeight="1">
      <c r="A26" s="575"/>
      <c r="B26" s="576"/>
      <c r="C26" s="576"/>
      <c r="D26" s="578"/>
      <c r="E26" s="575"/>
      <c r="F26" s="579"/>
      <c r="G26" s="579"/>
      <c r="H26" s="579"/>
      <c r="I26" s="576"/>
      <c r="J26" s="576"/>
      <c r="N26" s="574"/>
    </row>
    <row r="27" spans="1:14" s="573" customFormat="1" ht="30" hidden="1" customHeight="1">
      <c r="A27" s="575"/>
      <c r="B27" s="576"/>
      <c r="C27" s="576"/>
      <c r="D27" s="578"/>
      <c r="E27" s="575"/>
      <c r="F27" s="579"/>
      <c r="G27" s="579"/>
      <c r="H27" s="579"/>
      <c r="I27" s="576"/>
      <c r="J27" s="576"/>
      <c r="N27" s="574"/>
    </row>
    <row r="28" spans="1:14" s="573" customFormat="1" ht="30" hidden="1" customHeight="1">
      <c r="A28" s="575"/>
      <c r="B28" s="576"/>
      <c r="C28" s="576"/>
      <c r="D28" s="578"/>
      <c r="E28" s="575"/>
      <c r="F28" s="579"/>
      <c r="G28" s="579"/>
      <c r="H28" s="579"/>
      <c r="I28" s="576"/>
      <c r="J28" s="576"/>
      <c r="N28" s="574"/>
    </row>
    <row r="29" spans="1:14" s="573" customFormat="1" ht="30" customHeight="1">
      <c r="A29" s="575"/>
      <c r="B29" s="576"/>
      <c r="C29" s="576"/>
      <c r="D29" s="578"/>
      <c r="E29" s="575"/>
      <c r="F29" s="579"/>
      <c r="G29" s="579"/>
      <c r="H29" s="579"/>
      <c r="I29" s="576"/>
      <c r="J29" s="576"/>
      <c r="N29" s="574"/>
    </row>
    <row r="30" spans="1:14" s="573" customFormat="1" ht="30" customHeight="1">
      <c r="A30" s="575"/>
      <c r="B30" s="576"/>
      <c r="C30" s="576"/>
      <c r="D30" s="578"/>
      <c r="E30" s="575"/>
      <c r="F30" s="579"/>
      <c r="G30" s="579"/>
      <c r="H30" s="579"/>
      <c r="I30" s="576"/>
      <c r="J30" s="576"/>
      <c r="N30" s="574"/>
    </row>
    <row r="31" spans="1:14" s="580" customFormat="1" ht="21.95" customHeight="1">
      <c r="A31" s="1223" t="s">
        <v>584</v>
      </c>
      <c r="B31" s="1224"/>
      <c r="C31" s="1224"/>
      <c r="D31" s="1225"/>
      <c r="E31" s="847">
        <f>SUM(E6:E30)</f>
        <v>244</v>
      </c>
      <c r="F31" s="848">
        <f>SUM(F6:F30)</f>
        <v>36600</v>
      </c>
      <c r="G31" s="848">
        <f>SUM(G6:G30)</f>
        <v>18300</v>
      </c>
      <c r="H31" s="848">
        <f>SUM(H6:H30)</f>
        <v>18300</v>
      </c>
      <c r="I31" s="849"/>
      <c r="J31" s="849"/>
      <c r="L31" s="581"/>
    </row>
    <row r="32" spans="1:14" s="567" customFormat="1" ht="15">
      <c r="A32" s="582"/>
      <c r="C32" s="573"/>
      <c r="D32" s="583"/>
      <c r="F32" s="584"/>
      <c r="G32" s="584"/>
      <c r="H32" s="584"/>
    </row>
    <row r="33" spans="1:8" s="567" customFormat="1" ht="15">
      <c r="A33" s="582"/>
      <c r="C33" s="573"/>
      <c r="D33" s="583"/>
      <c r="F33" s="584"/>
      <c r="G33" s="584"/>
      <c r="H33" s="584"/>
    </row>
    <row r="34" spans="1:8" s="567" customFormat="1" ht="15">
      <c r="A34" s="582"/>
      <c r="C34" s="573"/>
      <c r="D34" s="583"/>
      <c r="F34" s="584"/>
      <c r="G34" s="584"/>
      <c r="H34" s="584"/>
    </row>
    <row r="35" spans="1:8" s="567" customFormat="1" ht="15">
      <c r="A35" s="582"/>
      <c r="C35" s="573"/>
      <c r="D35" s="583"/>
      <c r="F35" s="584"/>
      <c r="G35" s="584"/>
      <c r="H35" s="584"/>
    </row>
    <row r="36" spans="1:8" s="567" customFormat="1" ht="15">
      <c r="A36" s="582"/>
      <c r="C36" s="573"/>
      <c r="D36" s="583"/>
      <c r="F36" s="584"/>
      <c r="G36" s="584"/>
      <c r="H36" s="584"/>
    </row>
    <row r="37" spans="1:8" s="567" customFormat="1" ht="15">
      <c r="A37" s="582"/>
      <c r="C37" s="573"/>
      <c r="D37" s="583"/>
      <c r="F37" s="584"/>
      <c r="G37" s="584"/>
      <c r="H37" s="584"/>
    </row>
    <row r="38" spans="1:8" s="567" customFormat="1" ht="15">
      <c r="A38" s="582"/>
      <c r="C38" s="573"/>
      <c r="D38" s="583"/>
      <c r="F38" s="584"/>
      <c r="G38" s="584"/>
      <c r="H38" s="584"/>
    </row>
    <row r="39" spans="1:8" s="567" customFormat="1" ht="15">
      <c r="A39" s="582"/>
      <c r="C39" s="573"/>
      <c r="D39" s="583"/>
      <c r="F39" s="584"/>
      <c r="G39" s="584"/>
      <c r="H39" s="584"/>
    </row>
    <row r="40" spans="1:8" s="567" customFormat="1" ht="15">
      <c r="A40" s="582"/>
      <c r="C40" s="573"/>
      <c r="D40" s="583"/>
      <c r="F40" s="584"/>
      <c r="G40" s="584"/>
      <c r="H40" s="584"/>
    </row>
    <row r="41" spans="1:8" s="567" customFormat="1" ht="15">
      <c r="A41" s="582"/>
      <c r="C41" s="573"/>
      <c r="D41" s="583"/>
      <c r="F41" s="584"/>
      <c r="G41" s="584"/>
      <c r="H41" s="584"/>
    </row>
    <row r="42" spans="1:8" s="567" customFormat="1" ht="15">
      <c r="C42" s="573"/>
      <c r="D42" s="583"/>
      <c r="F42" s="584"/>
      <c r="G42" s="584"/>
      <c r="H42" s="584"/>
    </row>
    <row r="43" spans="1:8" s="567" customFormat="1" ht="15">
      <c r="C43" s="573"/>
      <c r="D43" s="583"/>
      <c r="F43" s="584"/>
      <c r="G43" s="584"/>
      <c r="H43" s="584"/>
    </row>
    <row r="44" spans="1:8" s="567" customFormat="1" ht="15">
      <c r="C44" s="573"/>
      <c r="D44" s="583"/>
      <c r="F44" s="584"/>
      <c r="G44" s="584"/>
      <c r="H44" s="584"/>
    </row>
    <row r="45" spans="1:8" s="567" customFormat="1" ht="15">
      <c r="C45" s="573"/>
      <c r="D45" s="583"/>
      <c r="F45" s="584"/>
      <c r="G45" s="584"/>
      <c r="H45" s="584"/>
    </row>
    <row r="46" spans="1:8" s="567" customFormat="1" ht="15">
      <c r="C46" s="573"/>
      <c r="D46" s="583"/>
      <c r="F46" s="584"/>
      <c r="G46" s="584"/>
      <c r="H46" s="584"/>
    </row>
    <row r="47" spans="1:8" s="567" customFormat="1" ht="16.5" customHeight="1">
      <c r="C47" s="573"/>
      <c r="D47" s="583"/>
      <c r="F47" s="584"/>
      <c r="G47" s="584"/>
      <c r="H47" s="584"/>
    </row>
    <row r="48" spans="1:8" s="567" customFormat="1" ht="15">
      <c r="C48" s="573"/>
      <c r="D48" s="583"/>
      <c r="F48" s="584"/>
      <c r="G48" s="584"/>
      <c r="H48" s="584"/>
    </row>
    <row r="49" spans="3:8" s="567" customFormat="1" ht="15">
      <c r="C49" s="573"/>
      <c r="D49" s="583"/>
      <c r="F49" s="584"/>
      <c r="G49" s="584"/>
      <c r="H49" s="584"/>
    </row>
    <row r="50" spans="3:8" s="567" customFormat="1" ht="15">
      <c r="C50" s="573"/>
      <c r="D50" s="583"/>
      <c r="F50" s="584"/>
      <c r="G50" s="584"/>
      <c r="H50" s="584"/>
    </row>
    <row r="51" spans="3:8" s="567" customFormat="1" ht="15">
      <c r="C51" s="573"/>
      <c r="D51" s="583"/>
      <c r="F51" s="584"/>
      <c r="G51" s="584"/>
      <c r="H51" s="584"/>
    </row>
  </sheetData>
  <mergeCells count="6">
    <mergeCell ref="A31:D31"/>
    <mergeCell ref="A1:J1"/>
    <mergeCell ref="A2:J2"/>
    <mergeCell ref="A3:J3"/>
    <mergeCell ref="A4:C4"/>
    <mergeCell ref="E4:J4"/>
  </mergeCells>
  <printOptions horizontalCentered="1"/>
  <pageMargins left="0.19685039370078741" right="0" top="0.55118110236220474" bottom="0" header="0" footer="0"/>
  <pageSetup paperSize="9" scale="75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5">
    <tabColor rgb="FFC00000"/>
  </sheetPr>
  <dimension ref="A1:P390"/>
  <sheetViews>
    <sheetView view="pageBreakPreview" topLeftCell="B1" zoomScaleNormal="100" zoomScaleSheetLayoutView="100" workbookViewId="0">
      <pane ySplit="5" topLeftCell="A6" activePane="bottomLeft" state="frozen"/>
      <selection activeCell="L142" sqref="L142"/>
      <selection pane="bottomLeft" activeCell="K12" sqref="K12"/>
    </sheetView>
  </sheetViews>
  <sheetFormatPr defaultColWidth="9.140625" defaultRowHeight="15"/>
  <cols>
    <col min="1" max="1" width="6.28515625" style="289" customWidth="1"/>
    <col min="2" max="2" width="13.42578125" style="289" customWidth="1"/>
    <col min="3" max="3" width="32.5703125" style="289" customWidth="1"/>
    <col min="4" max="4" width="29.7109375" style="289" customWidth="1"/>
    <col min="5" max="5" width="22.5703125" style="289" customWidth="1"/>
    <col min="6" max="6" width="17.140625" style="371" customWidth="1"/>
    <col min="7" max="7" width="10.140625" style="289" customWidth="1"/>
    <col min="8" max="8" width="8.140625" style="376" customWidth="1"/>
    <col min="9" max="9" width="10.7109375" style="289" customWidth="1"/>
    <col min="10" max="10" width="12" style="289" customWidth="1"/>
    <col min="11" max="11" width="11.42578125" style="289" customWidth="1"/>
    <col min="12" max="12" width="9.28515625" style="289" customWidth="1"/>
    <col min="13" max="13" width="11.140625" style="426" customWidth="1"/>
    <col min="14" max="15" width="15.140625" style="424" customWidth="1"/>
    <col min="16" max="16" width="18.5703125" style="290" customWidth="1"/>
    <col min="17" max="16384" width="9.140625" style="289"/>
  </cols>
  <sheetData>
    <row r="1" spans="1:16" ht="23.25">
      <c r="A1" s="1231" t="s">
        <v>933</v>
      </c>
      <c r="B1" s="1231"/>
      <c r="C1" s="1231"/>
      <c r="D1" s="1231"/>
      <c r="E1" s="1231"/>
      <c r="F1" s="1231"/>
      <c r="G1" s="1231"/>
      <c r="H1" s="1231"/>
      <c r="I1" s="1231"/>
      <c r="J1" s="1231"/>
      <c r="K1" s="1231"/>
      <c r="L1" s="1231"/>
      <c r="M1" s="1231"/>
      <c r="N1" s="1231"/>
      <c r="O1" s="1231"/>
      <c r="P1" s="1231"/>
    </row>
    <row r="2" spans="1:16" ht="15.75">
      <c r="A2" s="1232" t="s">
        <v>529</v>
      </c>
      <c r="B2" s="1232"/>
      <c r="C2" s="1232"/>
      <c r="D2" s="1232"/>
      <c r="E2" s="1232"/>
      <c r="F2" s="1232"/>
      <c r="G2" s="1232"/>
      <c r="H2" s="1232"/>
      <c r="I2" s="1232"/>
      <c r="J2" s="1232"/>
      <c r="K2" s="1232"/>
      <c r="L2" s="1232"/>
      <c r="M2" s="1232"/>
      <c r="N2" s="1232"/>
      <c r="O2" s="1232"/>
      <c r="P2" s="1232"/>
    </row>
    <row r="3" spans="1:16" ht="15.75">
      <c r="A3" s="1232" t="s">
        <v>1836</v>
      </c>
      <c r="B3" s="1232"/>
      <c r="C3" s="1232"/>
      <c r="D3" s="1232"/>
      <c r="E3" s="1232"/>
      <c r="F3" s="1232"/>
      <c r="G3" s="1232"/>
      <c r="H3" s="1232"/>
      <c r="I3" s="1232"/>
      <c r="J3" s="1232"/>
      <c r="K3" s="1232"/>
      <c r="L3" s="1232"/>
      <c r="M3" s="1232"/>
      <c r="N3" s="1232"/>
      <c r="O3" s="1232"/>
      <c r="P3" s="1232"/>
    </row>
    <row r="4" spans="1:16" ht="6.75" customHeight="1">
      <c r="A4" s="291"/>
      <c r="B4" s="292"/>
      <c r="C4" s="293"/>
      <c r="D4" s="294"/>
      <c r="E4" s="294"/>
      <c r="F4" s="369"/>
      <c r="G4" s="295"/>
      <c r="H4" s="373"/>
      <c r="I4" s="295"/>
      <c r="J4" s="295"/>
      <c r="K4" s="296"/>
      <c r="L4" s="296"/>
      <c r="M4" s="421"/>
      <c r="N4" s="423"/>
      <c r="O4" s="423"/>
      <c r="P4" s="296"/>
    </row>
    <row r="5" spans="1:16" ht="43.5" customHeight="1">
      <c r="A5" s="1119" t="s">
        <v>500</v>
      </c>
      <c r="B5" s="1119" t="s">
        <v>501</v>
      </c>
      <c r="C5" s="1119" t="s">
        <v>502</v>
      </c>
      <c r="D5" s="1119" t="s">
        <v>32</v>
      </c>
      <c r="E5" s="1119" t="s">
        <v>503</v>
      </c>
      <c r="F5" s="1120" t="s">
        <v>504</v>
      </c>
      <c r="G5" s="1121" t="s">
        <v>1092</v>
      </c>
      <c r="H5" s="1122" t="s">
        <v>1151</v>
      </c>
      <c r="I5" s="1121" t="s">
        <v>1093</v>
      </c>
      <c r="J5" s="1121" t="s">
        <v>1094</v>
      </c>
      <c r="K5" s="1121" t="s">
        <v>505</v>
      </c>
      <c r="L5" s="1121" t="s">
        <v>506</v>
      </c>
      <c r="M5" s="1123" t="s">
        <v>507</v>
      </c>
      <c r="N5" s="1124" t="s">
        <v>508</v>
      </c>
      <c r="O5" s="1119" t="s">
        <v>1865</v>
      </c>
      <c r="P5" s="1119" t="s">
        <v>509</v>
      </c>
    </row>
    <row r="6" spans="1:16" s="293" customFormat="1" ht="20.100000000000001" customHeight="1">
      <c r="A6" s="565">
        <v>1</v>
      </c>
      <c r="B6" s="440" t="s">
        <v>257</v>
      </c>
      <c r="C6" s="441" t="s">
        <v>258</v>
      </c>
      <c r="D6" s="442" t="s">
        <v>423</v>
      </c>
      <c r="E6" s="442" t="s">
        <v>879</v>
      </c>
      <c r="F6" s="443">
        <v>43862</v>
      </c>
      <c r="G6" s="445">
        <v>31</v>
      </c>
      <c r="H6" s="444">
        <v>2</v>
      </c>
      <c r="I6" s="444">
        <v>4</v>
      </c>
      <c r="J6" s="444">
        <v>2</v>
      </c>
      <c r="K6" s="444">
        <v>23</v>
      </c>
      <c r="L6" s="446"/>
      <c r="M6" s="446">
        <v>31</v>
      </c>
      <c r="N6" s="780"/>
      <c r="O6" s="442" t="s">
        <v>1837</v>
      </c>
      <c r="P6" s="444"/>
    </row>
    <row r="7" spans="1:16" s="293" customFormat="1" ht="20.100000000000001" customHeight="1">
      <c r="A7" s="447">
        <v>2</v>
      </c>
      <c r="B7" s="440" t="s">
        <v>55</v>
      </c>
      <c r="C7" s="441" t="s">
        <v>424</v>
      </c>
      <c r="D7" s="442" t="s">
        <v>425</v>
      </c>
      <c r="E7" s="442" t="s">
        <v>426</v>
      </c>
      <c r="F7" s="443">
        <v>44495</v>
      </c>
      <c r="G7" s="445">
        <v>31</v>
      </c>
      <c r="H7" s="444">
        <v>0</v>
      </c>
      <c r="I7" s="444">
        <v>4</v>
      </c>
      <c r="J7" s="444">
        <v>2</v>
      </c>
      <c r="K7" s="444">
        <v>25</v>
      </c>
      <c r="L7" s="446"/>
      <c r="M7" s="446">
        <v>31</v>
      </c>
      <c r="N7" s="780"/>
      <c r="O7" s="442" t="s">
        <v>1837</v>
      </c>
      <c r="P7" s="444"/>
    </row>
    <row r="8" spans="1:16" s="293" customFormat="1">
      <c r="A8" s="447">
        <v>3</v>
      </c>
      <c r="B8" s="440" t="s">
        <v>338</v>
      </c>
      <c r="C8" s="441" t="s">
        <v>427</v>
      </c>
      <c r="D8" s="442" t="s">
        <v>423</v>
      </c>
      <c r="E8" s="442" t="s">
        <v>347</v>
      </c>
      <c r="F8" s="443">
        <v>44332</v>
      </c>
      <c r="G8" s="445">
        <v>31</v>
      </c>
      <c r="H8" s="444">
        <v>2</v>
      </c>
      <c r="I8" s="444">
        <v>4</v>
      </c>
      <c r="J8" s="444">
        <v>2</v>
      </c>
      <c r="K8" s="444">
        <v>23</v>
      </c>
      <c r="L8" s="446"/>
      <c r="M8" s="446">
        <v>31</v>
      </c>
      <c r="N8" s="780"/>
      <c r="O8" s="442" t="s">
        <v>1837</v>
      </c>
      <c r="P8" s="444"/>
    </row>
    <row r="9" spans="1:16" s="293" customFormat="1" ht="20.100000000000001" customHeight="1">
      <c r="A9" s="447">
        <v>4</v>
      </c>
      <c r="B9" s="440" t="s">
        <v>241</v>
      </c>
      <c r="C9" s="441" t="s">
        <v>428</v>
      </c>
      <c r="D9" s="442" t="s">
        <v>429</v>
      </c>
      <c r="E9" s="442" t="s">
        <v>203</v>
      </c>
      <c r="F9" s="443">
        <v>44317</v>
      </c>
      <c r="G9" s="445">
        <v>31</v>
      </c>
      <c r="H9" s="444">
        <v>4</v>
      </c>
      <c r="I9" s="444">
        <v>4</v>
      </c>
      <c r="J9" s="444">
        <v>2</v>
      </c>
      <c r="K9" s="444">
        <v>21</v>
      </c>
      <c r="L9" s="446"/>
      <c r="M9" s="446">
        <v>31</v>
      </c>
      <c r="N9" s="780"/>
      <c r="O9" s="442" t="s">
        <v>1837</v>
      </c>
      <c r="P9" s="444" t="s">
        <v>1838</v>
      </c>
    </row>
    <row r="10" spans="1:16" s="293" customFormat="1" ht="20.100000000000001" customHeight="1">
      <c r="A10" s="447">
        <v>5</v>
      </c>
      <c r="B10" s="440" t="s">
        <v>261</v>
      </c>
      <c r="C10" s="441" t="s">
        <v>262</v>
      </c>
      <c r="D10" s="442" t="s">
        <v>429</v>
      </c>
      <c r="E10" s="442" t="s">
        <v>203</v>
      </c>
      <c r="F10" s="443">
        <v>44343</v>
      </c>
      <c r="G10" s="445">
        <v>31</v>
      </c>
      <c r="H10" s="444">
        <v>0</v>
      </c>
      <c r="I10" s="444">
        <v>4</v>
      </c>
      <c r="J10" s="444">
        <v>2</v>
      </c>
      <c r="K10" s="444">
        <v>25</v>
      </c>
      <c r="L10" s="446"/>
      <c r="M10" s="446">
        <v>31</v>
      </c>
      <c r="N10" s="780"/>
      <c r="O10" s="442" t="s">
        <v>1837</v>
      </c>
      <c r="P10" s="444"/>
    </row>
    <row r="11" spans="1:16" s="293" customFormat="1" ht="20.100000000000001" customHeight="1">
      <c r="A11" s="447">
        <v>6</v>
      </c>
      <c r="B11" s="440" t="s">
        <v>244</v>
      </c>
      <c r="C11" s="441" t="s">
        <v>431</v>
      </c>
      <c r="D11" s="442" t="s">
        <v>491</v>
      </c>
      <c r="E11" s="442" t="s">
        <v>203</v>
      </c>
      <c r="F11" s="443">
        <v>44440</v>
      </c>
      <c r="G11" s="445">
        <v>31</v>
      </c>
      <c r="H11" s="444">
        <v>2</v>
      </c>
      <c r="I11" s="444">
        <v>4</v>
      </c>
      <c r="J11" s="444">
        <v>2</v>
      </c>
      <c r="K11" s="444">
        <v>23</v>
      </c>
      <c r="L11" s="446"/>
      <c r="M11" s="446">
        <v>31</v>
      </c>
      <c r="N11" s="780"/>
      <c r="O11" s="442" t="s">
        <v>1837</v>
      </c>
      <c r="P11" s="444"/>
    </row>
    <row r="12" spans="1:16" s="293" customFormat="1" ht="20.100000000000001" customHeight="1">
      <c r="A12" s="447">
        <v>7</v>
      </c>
      <c r="B12" s="440" t="s">
        <v>247</v>
      </c>
      <c r="C12" s="441" t="s">
        <v>248</v>
      </c>
      <c r="D12" s="442" t="s">
        <v>510</v>
      </c>
      <c r="E12" s="442" t="s">
        <v>203</v>
      </c>
      <c r="F12" s="443">
        <v>44472</v>
      </c>
      <c r="G12" s="445">
        <v>31</v>
      </c>
      <c r="H12" s="444">
        <v>0</v>
      </c>
      <c r="I12" s="444">
        <v>4</v>
      </c>
      <c r="J12" s="444">
        <v>2</v>
      </c>
      <c r="K12" s="444">
        <v>25</v>
      </c>
      <c r="L12" s="446"/>
      <c r="M12" s="446">
        <v>31</v>
      </c>
      <c r="N12" s="780"/>
      <c r="O12" s="442" t="s">
        <v>1837</v>
      </c>
      <c r="P12" s="444"/>
    </row>
    <row r="13" spans="1:16" s="293" customFormat="1" ht="20.100000000000001" customHeight="1">
      <c r="A13" s="447">
        <v>8</v>
      </c>
      <c r="B13" s="440" t="s">
        <v>250</v>
      </c>
      <c r="C13" s="441" t="s">
        <v>251</v>
      </c>
      <c r="D13" s="442" t="s">
        <v>445</v>
      </c>
      <c r="E13" s="442" t="s">
        <v>203</v>
      </c>
      <c r="F13" s="443">
        <v>44467</v>
      </c>
      <c r="G13" s="445">
        <v>31</v>
      </c>
      <c r="H13" s="444">
        <v>0</v>
      </c>
      <c r="I13" s="444">
        <v>4</v>
      </c>
      <c r="J13" s="444">
        <v>2</v>
      </c>
      <c r="K13" s="444">
        <v>25</v>
      </c>
      <c r="L13" s="446"/>
      <c r="M13" s="446">
        <v>31</v>
      </c>
      <c r="N13" s="780"/>
      <c r="O13" s="442" t="s">
        <v>1837</v>
      </c>
      <c r="P13" s="444"/>
    </row>
    <row r="14" spans="1:16" s="293" customFormat="1" ht="20.100000000000001" customHeight="1">
      <c r="A14" s="447">
        <v>9</v>
      </c>
      <c r="B14" s="440" t="s">
        <v>95</v>
      </c>
      <c r="C14" s="441" t="s">
        <v>434</v>
      </c>
      <c r="D14" s="442" t="s">
        <v>435</v>
      </c>
      <c r="E14" s="442" t="s">
        <v>97</v>
      </c>
      <c r="F14" s="443">
        <v>44362</v>
      </c>
      <c r="G14" s="445">
        <v>31</v>
      </c>
      <c r="H14" s="444">
        <v>0</v>
      </c>
      <c r="I14" s="444">
        <v>4</v>
      </c>
      <c r="J14" s="444">
        <v>2</v>
      </c>
      <c r="K14" s="444">
        <v>25</v>
      </c>
      <c r="L14" s="446"/>
      <c r="M14" s="446">
        <v>31</v>
      </c>
      <c r="N14" s="780"/>
      <c r="O14" s="442" t="s">
        <v>1837</v>
      </c>
      <c r="P14" s="444"/>
    </row>
    <row r="15" spans="1:16" s="293" customFormat="1" ht="20.100000000000001" customHeight="1">
      <c r="A15" s="447">
        <v>10</v>
      </c>
      <c r="B15" s="440" t="s">
        <v>253</v>
      </c>
      <c r="C15" s="441" t="s">
        <v>254</v>
      </c>
      <c r="D15" s="442" t="s">
        <v>436</v>
      </c>
      <c r="E15" s="442" t="s">
        <v>1221</v>
      </c>
      <c r="F15" s="443">
        <v>44556</v>
      </c>
      <c r="G15" s="445">
        <v>31</v>
      </c>
      <c r="H15" s="444">
        <v>0</v>
      </c>
      <c r="I15" s="444">
        <v>4</v>
      </c>
      <c r="J15" s="444">
        <v>2</v>
      </c>
      <c r="K15" s="444">
        <v>25</v>
      </c>
      <c r="L15" s="446"/>
      <c r="M15" s="446">
        <v>31</v>
      </c>
      <c r="N15" s="780"/>
      <c r="O15" s="442" t="s">
        <v>1837</v>
      </c>
      <c r="P15" s="444"/>
    </row>
    <row r="16" spans="1:16" s="293" customFormat="1" ht="20.100000000000001" customHeight="1">
      <c r="A16" s="447">
        <v>11</v>
      </c>
      <c r="B16" s="440" t="s">
        <v>45</v>
      </c>
      <c r="C16" s="441" t="s">
        <v>46</v>
      </c>
      <c r="D16" s="442" t="s">
        <v>436</v>
      </c>
      <c r="E16" s="442" t="s">
        <v>426</v>
      </c>
      <c r="F16" s="443">
        <v>44566</v>
      </c>
      <c r="G16" s="445">
        <v>31</v>
      </c>
      <c r="H16" s="444">
        <v>2</v>
      </c>
      <c r="I16" s="444">
        <v>4</v>
      </c>
      <c r="J16" s="444">
        <v>2</v>
      </c>
      <c r="K16" s="444">
        <v>23</v>
      </c>
      <c r="L16" s="446"/>
      <c r="M16" s="446">
        <v>31</v>
      </c>
      <c r="N16" s="780"/>
      <c r="O16" s="442" t="s">
        <v>1837</v>
      </c>
      <c r="P16" s="444"/>
    </row>
    <row r="17" spans="1:16" s="293" customFormat="1" ht="20.100000000000001" customHeight="1">
      <c r="A17" s="447">
        <v>12</v>
      </c>
      <c r="B17" s="440" t="s">
        <v>68</v>
      </c>
      <c r="C17" s="441" t="s">
        <v>69</v>
      </c>
      <c r="D17" s="442" t="s">
        <v>604</v>
      </c>
      <c r="E17" s="442" t="s">
        <v>70</v>
      </c>
      <c r="F17" s="443">
        <v>44580</v>
      </c>
      <c r="G17" s="445">
        <v>31</v>
      </c>
      <c r="H17" s="444">
        <v>3</v>
      </c>
      <c r="I17" s="444">
        <v>4</v>
      </c>
      <c r="J17" s="444">
        <v>2</v>
      </c>
      <c r="K17" s="444">
        <v>22</v>
      </c>
      <c r="L17" s="446"/>
      <c r="M17" s="446">
        <v>31</v>
      </c>
      <c r="N17" s="780"/>
      <c r="O17" s="442" t="s">
        <v>1837</v>
      </c>
      <c r="P17" s="444"/>
    </row>
    <row r="18" spans="1:16" s="293" customFormat="1" ht="20.100000000000001" customHeight="1">
      <c r="A18" s="447">
        <v>13</v>
      </c>
      <c r="B18" s="440" t="s">
        <v>201</v>
      </c>
      <c r="C18" s="441" t="s">
        <v>202</v>
      </c>
      <c r="D18" s="442" t="s">
        <v>430</v>
      </c>
      <c r="E18" s="442" t="s">
        <v>203</v>
      </c>
      <c r="F18" s="443">
        <v>44593</v>
      </c>
      <c r="G18" s="445">
        <v>31</v>
      </c>
      <c r="H18" s="444">
        <v>0</v>
      </c>
      <c r="I18" s="444">
        <v>4</v>
      </c>
      <c r="J18" s="444">
        <v>2</v>
      </c>
      <c r="K18" s="444">
        <v>25</v>
      </c>
      <c r="L18" s="446"/>
      <c r="M18" s="446">
        <v>31</v>
      </c>
      <c r="N18" s="780"/>
      <c r="O18" s="442" t="s">
        <v>1837</v>
      </c>
      <c r="P18" s="444"/>
    </row>
    <row r="19" spans="1:16" s="293" customFormat="1" ht="20.100000000000001" customHeight="1">
      <c r="A19" s="447">
        <v>14</v>
      </c>
      <c r="B19" s="440" t="s">
        <v>362</v>
      </c>
      <c r="C19" s="441" t="s">
        <v>363</v>
      </c>
      <c r="D19" s="442" t="s">
        <v>605</v>
      </c>
      <c r="E19" s="442" t="s">
        <v>1111</v>
      </c>
      <c r="F19" s="443">
        <v>44555</v>
      </c>
      <c r="G19" s="445">
        <v>31</v>
      </c>
      <c r="H19" s="444">
        <v>1</v>
      </c>
      <c r="I19" s="444">
        <v>4</v>
      </c>
      <c r="J19" s="444">
        <v>2</v>
      </c>
      <c r="K19" s="444">
        <v>24</v>
      </c>
      <c r="L19" s="446"/>
      <c r="M19" s="446">
        <v>31</v>
      </c>
      <c r="N19" s="780"/>
      <c r="O19" s="442" t="s">
        <v>1837</v>
      </c>
      <c r="P19" s="444"/>
    </row>
    <row r="20" spans="1:16" s="293" customFormat="1" ht="20.100000000000001" customHeight="1">
      <c r="A20" s="447">
        <v>15</v>
      </c>
      <c r="B20" s="440" t="s">
        <v>90</v>
      </c>
      <c r="C20" s="441" t="s">
        <v>91</v>
      </c>
      <c r="D20" s="442" t="s">
        <v>438</v>
      </c>
      <c r="E20" s="442" t="s">
        <v>879</v>
      </c>
      <c r="F20" s="443">
        <v>44607</v>
      </c>
      <c r="G20" s="445">
        <v>31</v>
      </c>
      <c r="H20" s="444">
        <v>0</v>
      </c>
      <c r="I20" s="444">
        <v>4</v>
      </c>
      <c r="J20" s="444">
        <v>2</v>
      </c>
      <c r="K20" s="444">
        <v>25</v>
      </c>
      <c r="L20" s="446"/>
      <c r="M20" s="446">
        <v>31</v>
      </c>
      <c r="N20" s="780"/>
      <c r="O20" s="442" t="s">
        <v>1837</v>
      </c>
      <c r="P20" s="444"/>
    </row>
    <row r="21" spans="1:16" s="293" customFormat="1" ht="20.100000000000001" customHeight="1">
      <c r="A21" s="447">
        <v>16</v>
      </c>
      <c r="B21" s="440" t="s">
        <v>99</v>
      </c>
      <c r="C21" s="441" t="s">
        <v>440</v>
      </c>
      <c r="D21" s="442" t="s">
        <v>435</v>
      </c>
      <c r="E21" s="442" t="s">
        <v>97</v>
      </c>
      <c r="F21" s="443">
        <v>44602</v>
      </c>
      <c r="G21" s="445">
        <v>31</v>
      </c>
      <c r="H21" s="444">
        <v>7</v>
      </c>
      <c r="I21" s="444">
        <v>4</v>
      </c>
      <c r="J21" s="444">
        <v>2</v>
      </c>
      <c r="K21" s="444">
        <v>18</v>
      </c>
      <c r="L21" s="446"/>
      <c r="M21" s="446">
        <v>31</v>
      </c>
      <c r="N21" s="780"/>
      <c r="O21" s="442" t="s">
        <v>1837</v>
      </c>
      <c r="P21" s="444"/>
    </row>
    <row r="22" spans="1:16" s="293" customFormat="1" ht="20.100000000000001" customHeight="1">
      <c r="A22" s="447">
        <v>17</v>
      </c>
      <c r="B22" s="440" t="s">
        <v>101</v>
      </c>
      <c r="C22" s="441" t="s">
        <v>102</v>
      </c>
      <c r="D22" s="442" t="s">
        <v>435</v>
      </c>
      <c r="E22" s="442" t="s">
        <v>97</v>
      </c>
      <c r="F22" s="443">
        <v>44604</v>
      </c>
      <c r="G22" s="445">
        <v>31</v>
      </c>
      <c r="H22" s="444">
        <v>0</v>
      </c>
      <c r="I22" s="444">
        <v>4</v>
      </c>
      <c r="J22" s="444">
        <v>2</v>
      </c>
      <c r="K22" s="444">
        <v>25</v>
      </c>
      <c r="L22" s="446"/>
      <c r="M22" s="446">
        <v>31</v>
      </c>
      <c r="N22" s="780"/>
      <c r="O22" s="442" t="s">
        <v>1837</v>
      </c>
      <c r="P22" s="444"/>
    </row>
    <row r="23" spans="1:16" s="293" customFormat="1" ht="20.100000000000001" customHeight="1">
      <c r="A23" s="447">
        <v>18</v>
      </c>
      <c r="B23" s="440" t="s">
        <v>205</v>
      </c>
      <c r="C23" s="441" t="s">
        <v>206</v>
      </c>
      <c r="D23" s="442" t="s">
        <v>541</v>
      </c>
      <c r="E23" s="442" t="s">
        <v>203</v>
      </c>
      <c r="F23" s="443">
        <v>44024</v>
      </c>
      <c r="G23" s="445">
        <v>31</v>
      </c>
      <c r="H23" s="444">
        <v>0</v>
      </c>
      <c r="I23" s="444">
        <v>4</v>
      </c>
      <c r="J23" s="444">
        <v>2</v>
      </c>
      <c r="K23" s="444">
        <v>25</v>
      </c>
      <c r="L23" s="446"/>
      <c r="M23" s="446">
        <v>31</v>
      </c>
      <c r="N23" s="780"/>
      <c r="O23" s="442" t="s">
        <v>1837</v>
      </c>
      <c r="P23" s="444"/>
    </row>
    <row r="24" spans="1:16" s="293" customFormat="1" ht="20.100000000000001" customHeight="1">
      <c r="A24" s="447">
        <v>19</v>
      </c>
      <c r="B24" s="440" t="s">
        <v>104</v>
      </c>
      <c r="C24" s="441" t="s">
        <v>442</v>
      </c>
      <c r="D24" s="442" t="s">
        <v>435</v>
      </c>
      <c r="E24" s="442" t="s">
        <v>97</v>
      </c>
      <c r="F24" s="443">
        <v>44640</v>
      </c>
      <c r="G24" s="445">
        <v>31</v>
      </c>
      <c r="H24" s="444">
        <v>0</v>
      </c>
      <c r="I24" s="444">
        <v>4</v>
      </c>
      <c r="J24" s="444">
        <v>2</v>
      </c>
      <c r="K24" s="444">
        <v>25</v>
      </c>
      <c r="L24" s="446"/>
      <c r="M24" s="446">
        <v>31</v>
      </c>
      <c r="N24" s="780"/>
      <c r="O24" s="442" t="s">
        <v>1837</v>
      </c>
      <c r="P24" s="444"/>
    </row>
    <row r="25" spans="1:16" s="293" customFormat="1" ht="20.100000000000001" customHeight="1">
      <c r="A25" s="447">
        <v>20</v>
      </c>
      <c r="B25" s="440" t="s">
        <v>652</v>
      </c>
      <c r="C25" s="441" t="s">
        <v>653</v>
      </c>
      <c r="D25" s="442" t="s">
        <v>439</v>
      </c>
      <c r="E25" s="442" t="s">
        <v>97</v>
      </c>
      <c r="F25" s="443">
        <v>45048</v>
      </c>
      <c r="G25" s="445">
        <v>31</v>
      </c>
      <c r="H25" s="444">
        <v>4</v>
      </c>
      <c r="I25" s="444">
        <v>4</v>
      </c>
      <c r="J25" s="444">
        <v>2</v>
      </c>
      <c r="K25" s="444">
        <v>21</v>
      </c>
      <c r="L25" s="446"/>
      <c r="M25" s="446">
        <v>31</v>
      </c>
      <c r="N25" s="780"/>
      <c r="O25" s="442" t="s">
        <v>1837</v>
      </c>
      <c r="P25" s="444"/>
    </row>
    <row r="26" spans="1:16" s="293" customFormat="1" ht="20.100000000000001" customHeight="1">
      <c r="A26" s="447">
        <v>21</v>
      </c>
      <c r="B26" s="440" t="s">
        <v>107</v>
      </c>
      <c r="C26" s="441" t="s">
        <v>108</v>
      </c>
      <c r="D26" s="442" t="s">
        <v>439</v>
      </c>
      <c r="E26" s="442" t="s">
        <v>97</v>
      </c>
      <c r="F26" s="443">
        <v>44600</v>
      </c>
      <c r="G26" s="445">
        <v>31</v>
      </c>
      <c r="H26" s="444">
        <v>0</v>
      </c>
      <c r="I26" s="444">
        <v>4</v>
      </c>
      <c r="J26" s="444">
        <v>2</v>
      </c>
      <c r="K26" s="444">
        <v>25</v>
      </c>
      <c r="L26" s="446"/>
      <c r="M26" s="446">
        <v>31</v>
      </c>
      <c r="N26" s="780"/>
      <c r="O26" s="442" t="s">
        <v>1837</v>
      </c>
      <c r="P26" s="444"/>
    </row>
    <row r="27" spans="1:16" s="293" customFormat="1" ht="20.100000000000001" customHeight="1">
      <c r="A27" s="447">
        <v>22</v>
      </c>
      <c r="B27" s="440" t="s">
        <v>110</v>
      </c>
      <c r="C27" s="441" t="s">
        <v>443</v>
      </c>
      <c r="D27" s="442" t="s">
        <v>444</v>
      </c>
      <c r="E27" s="442" t="s">
        <v>97</v>
      </c>
      <c r="F27" s="443">
        <v>44601</v>
      </c>
      <c r="G27" s="445">
        <v>31</v>
      </c>
      <c r="H27" s="444">
        <v>0</v>
      </c>
      <c r="I27" s="444">
        <v>4</v>
      </c>
      <c r="J27" s="444">
        <v>2</v>
      </c>
      <c r="K27" s="444">
        <v>25</v>
      </c>
      <c r="L27" s="446"/>
      <c r="M27" s="446">
        <v>31</v>
      </c>
      <c r="N27" s="780"/>
      <c r="O27" s="442" t="s">
        <v>1837</v>
      </c>
      <c r="P27" s="444"/>
    </row>
    <row r="28" spans="1:16" s="293" customFormat="1" ht="20.100000000000001" customHeight="1">
      <c r="A28" s="447">
        <v>23</v>
      </c>
      <c r="B28" s="440" t="s">
        <v>332</v>
      </c>
      <c r="C28" s="441" t="s">
        <v>446</v>
      </c>
      <c r="D28" s="442" t="s">
        <v>447</v>
      </c>
      <c r="E28" s="442" t="s">
        <v>347</v>
      </c>
      <c r="F28" s="443">
        <v>44619</v>
      </c>
      <c r="G28" s="445">
        <v>31</v>
      </c>
      <c r="H28" s="444">
        <v>0</v>
      </c>
      <c r="I28" s="444">
        <v>4</v>
      </c>
      <c r="J28" s="444">
        <v>2</v>
      </c>
      <c r="K28" s="444">
        <v>25</v>
      </c>
      <c r="L28" s="446"/>
      <c r="M28" s="446">
        <v>31</v>
      </c>
      <c r="N28" s="780"/>
      <c r="O28" s="442" t="s">
        <v>1837</v>
      </c>
      <c r="P28" s="444"/>
    </row>
    <row r="29" spans="1:16" s="293" customFormat="1" ht="20.100000000000001" customHeight="1">
      <c r="A29" s="447">
        <v>24</v>
      </c>
      <c r="B29" s="440" t="s">
        <v>208</v>
      </c>
      <c r="C29" s="441" t="s">
        <v>448</v>
      </c>
      <c r="D29" s="442" t="s">
        <v>542</v>
      </c>
      <c r="E29" s="442" t="s">
        <v>203</v>
      </c>
      <c r="F29" s="443">
        <v>44654</v>
      </c>
      <c r="G29" s="445">
        <v>31</v>
      </c>
      <c r="H29" s="444">
        <v>0</v>
      </c>
      <c r="I29" s="444">
        <v>4</v>
      </c>
      <c r="J29" s="444">
        <v>2</v>
      </c>
      <c r="K29" s="444">
        <v>25</v>
      </c>
      <c r="L29" s="446"/>
      <c r="M29" s="446">
        <v>31</v>
      </c>
      <c r="N29" s="780"/>
      <c r="O29" s="442" t="s">
        <v>1837</v>
      </c>
      <c r="P29" s="444"/>
    </row>
    <row r="30" spans="1:16" s="293" customFormat="1" ht="20.100000000000001" customHeight="1">
      <c r="A30" s="447">
        <v>25</v>
      </c>
      <c r="B30" s="440" t="s">
        <v>211</v>
      </c>
      <c r="C30" s="441" t="s">
        <v>212</v>
      </c>
      <c r="D30" s="442" t="s">
        <v>542</v>
      </c>
      <c r="E30" s="442" t="s">
        <v>203</v>
      </c>
      <c r="F30" s="443">
        <v>44654</v>
      </c>
      <c r="G30" s="445">
        <v>31</v>
      </c>
      <c r="H30" s="444">
        <v>0</v>
      </c>
      <c r="I30" s="444">
        <v>4</v>
      </c>
      <c r="J30" s="444">
        <v>2</v>
      </c>
      <c r="K30" s="444">
        <v>25</v>
      </c>
      <c r="L30" s="446"/>
      <c r="M30" s="446">
        <v>31</v>
      </c>
      <c r="N30" s="780"/>
      <c r="O30" s="442" t="s">
        <v>1837</v>
      </c>
      <c r="P30" s="444"/>
    </row>
    <row r="31" spans="1:16" s="293" customFormat="1" ht="20.100000000000001" customHeight="1">
      <c r="A31" s="447">
        <v>26</v>
      </c>
      <c r="B31" s="440" t="s">
        <v>213</v>
      </c>
      <c r="C31" s="441" t="s">
        <v>214</v>
      </c>
      <c r="D31" s="442" t="s">
        <v>449</v>
      </c>
      <c r="E31" s="442" t="s">
        <v>203</v>
      </c>
      <c r="F31" s="443">
        <v>44625</v>
      </c>
      <c r="G31" s="445">
        <v>31</v>
      </c>
      <c r="H31" s="444">
        <v>0</v>
      </c>
      <c r="I31" s="444">
        <v>4</v>
      </c>
      <c r="J31" s="444">
        <v>2</v>
      </c>
      <c r="K31" s="444">
        <v>25</v>
      </c>
      <c r="L31" s="446"/>
      <c r="M31" s="446">
        <v>31</v>
      </c>
      <c r="N31" s="780"/>
      <c r="O31" s="442" t="s">
        <v>1837</v>
      </c>
      <c r="P31" s="444"/>
    </row>
    <row r="32" spans="1:16" s="293" customFormat="1" ht="20.100000000000001" customHeight="1">
      <c r="A32" s="447">
        <v>27</v>
      </c>
      <c r="B32" s="440" t="s">
        <v>216</v>
      </c>
      <c r="C32" s="441" t="s">
        <v>450</v>
      </c>
      <c r="D32" s="442" t="s">
        <v>449</v>
      </c>
      <c r="E32" s="442" t="s">
        <v>203</v>
      </c>
      <c r="F32" s="443">
        <v>44626</v>
      </c>
      <c r="G32" s="445">
        <v>31</v>
      </c>
      <c r="H32" s="444">
        <v>0</v>
      </c>
      <c r="I32" s="444">
        <v>4</v>
      </c>
      <c r="J32" s="444">
        <v>2</v>
      </c>
      <c r="K32" s="444">
        <v>25</v>
      </c>
      <c r="L32" s="446"/>
      <c r="M32" s="446">
        <v>31</v>
      </c>
      <c r="N32" s="780"/>
      <c r="O32" s="442" t="s">
        <v>1837</v>
      </c>
      <c r="P32" s="444"/>
    </row>
    <row r="33" spans="1:16" s="293" customFormat="1" ht="20.100000000000001" customHeight="1">
      <c r="A33" s="447">
        <v>28</v>
      </c>
      <c r="B33" s="440" t="s">
        <v>219</v>
      </c>
      <c r="C33" s="441" t="s">
        <v>220</v>
      </c>
      <c r="D33" s="442" t="s">
        <v>452</v>
      </c>
      <c r="E33" s="442" t="s">
        <v>203</v>
      </c>
      <c r="F33" s="443">
        <v>44621</v>
      </c>
      <c r="G33" s="445">
        <v>31</v>
      </c>
      <c r="H33" s="444">
        <v>0</v>
      </c>
      <c r="I33" s="444">
        <v>4</v>
      </c>
      <c r="J33" s="444">
        <v>2</v>
      </c>
      <c r="K33" s="444">
        <v>25</v>
      </c>
      <c r="L33" s="446"/>
      <c r="M33" s="446">
        <v>31</v>
      </c>
      <c r="N33" s="780"/>
      <c r="O33" s="442" t="s">
        <v>1837</v>
      </c>
      <c r="P33" s="444"/>
    </row>
    <row r="34" spans="1:16" s="293" customFormat="1" ht="20.100000000000001" customHeight="1">
      <c r="A34" s="447">
        <v>29</v>
      </c>
      <c r="B34" s="440" t="s">
        <v>221</v>
      </c>
      <c r="C34" s="441" t="s">
        <v>222</v>
      </c>
      <c r="D34" s="442" t="s">
        <v>489</v>
      </c>
      <c r="E34" s="442" t="s">
        <v>203</v>
      </c>
      <c r="F34" s="443">
        <v>44625</v>
      </c>
      <c r="G34" s="445">
        <v>31</v>
      </c>
      <c r="H34" s="444">
        <v>0</v>
      </c>
      <c r="I34" s="444">
        <v>4</v>
      </c>
      <c r="J34" s="444">
        <v>2</v>
      </c>
      <c r="K34" s="444">
        <v>25</v>
      </c>
      <c r="L34" s="446"/>
      <c r="M34" s="446">
        <v>31</v>
      </c>
      <c r="N34" s="780"/>
      <c r="O34" s="442" t="s">
        <v>1837</v>
      </c>
      <c r="P34" s="444"/>
    </row>
    <row r="35" spans="1:16" s="293" customFormat="1" ht="20.100000000000001" customHeight="1">
      <c r="A35" s="447">
        <v>30</v>
      </c>
      <c r="B35" s="440" t="s">
        <v>224</v>
      </c>
      <c r="C35" s="441" t="s">
        <v>225</v>
      </c>
      <c r="D35" s="442" t="s">
        <v>453</v>
      </c>
      <c r="E35" s="442" t="s">
        <v>203</v>
      </c>
      <c r="F35" s="443">
        <v>44635</v>
      </c>
      <c r="G35" s="445">
        <v>31</v>
      </c>
      <c r="H35" s="444">
        <v>0</v>
      </c>
      <c r="I35" s="444">
        <v>4</v>
      </c>
      <c r="J35" s="444">
        <v>2</v>
      </c>
      <c r="K35" s="444">
        <v>25</v>
      </c>
      <c r="L35" s="446"/>
      <c r="M35" s="446">
        <v>31</v>
      </c>
      <c r="N35" s="780"/>
      <c r="O35" s="442" t="s">
        <v>1837</v>
      </c>
      <c r="P35" s="444"/>
    </row>
    <row r="36" spans="1:16" s="293" customFormat="1" ht="26.25" customHeight="1">
      <c r="A36" s="447">
        <v>31</v>
      </c>
      <c r="B36" s="440" t="s">
        <v>227</v>
      </c>
      <c r="C36" s="441" t="s">
        <v>228</v>
      </c>
      <c r="D36" s="442" t="s">
        <v>454</v>
      </c>
      <c r="E36" s="442" t="s">
        <v>203</v>
      </c>
      <c r="F36" s="443">
        <v>44640</v>
      </c>
      <c r="G36" s="445">
        <v>31</v>
      </c>
      <c r="H36" s="444">
        <v>0</v>
      </c>
      <c r="I36" s="444">
        <v>4</v>
      </c>
      <c r="J36" s="444">
        <v>2</v>
      </c>
      <c r="K36" s="444">
        <v>-2</v>
      </c>
      <c r="L36" s="446">
        <v>27</v>
      </c>
      <c r="M36" s="446">
        <v>4</v>
      </c>
      <c r="N36" s="780"/>
      <c r="O36" s="442" t="s">
        <v>1837</v>
      </c>
      <c r="P36" s="444" t="s">
        <v>1664</v>
      </c>
    </row>
    <row r="37" spans="1:16" s="293" customFormat="1" ht="20.100000000000001" customHeight="1">
      <c r="A37" s="447">
        <v>32</v>
      </c>
      <c r="B37" s="440" t="s">
        <v>229</v>
      </c>
      <c r="C37" s="441" t="s">
        <v>455</v>
      </c>
      <c r="D37" s="442" t="s">
        <v>451</v>
      </c>
      <c r="E37" s="442" t="s">
        <v>203</v>
      </c>
      <c r="F37" s="443">
        <v>44635</v>
      </c>
      <c r="G37" s="445">
        <v>31</v>
      </c>
      <c r="H37" s="444">
        <v>0</v>
      </c>
      <c r="I37" s="444">
        <v>4</v>
      </c>
      <c r="J37" s="444">
        <v>2</v>
      </c>
      <c r="K37" s="444">
        <v>25</v>
      </c>
      <c r="L37" s="446"/>
      <c r="M37" s="446">
        <v>31</v>
      </c>
      <c r="N37" s="780"/>
      <c r="O37" s="442" t="s">
        <v>1837</v>
      </c>
      <c r="P37" s="444"/>
    </row>
    <row r="38" spans="1:16" s="293" customFormat="1" ht="20.100000000000001" customHeight="1">
      <c r="A38" s="447">
        <v>33</v>
      </c>
      <c r="B38" s="440" t="s">
        <v>232</v>
      </c>
      <c r="C38" s="441" t="s">
        <v>233</v>
      </c>
      <c r="D38" s="442" t="s">
        <v>453</v>
      </c>
      <c r="E38" s="442" t="s">
        <v>203</v>
      </c>
      <c r="F38" s="443">
        <v>44653</v>
      </c>
      <c r="G38" s="445">
        <v>31</v>
      </c>
      <c r="H38" s="444">
        <v>0</v>
      </c>
      <c r="I38" s="444">
        <v>4</v>
      </c>
      <c r="J38" s="444">
        <v>2</v>
      </c>
      <c r="K38" s="444">
        <v>25</v>
      </c>
      <c r="L38" s="446"/>
      <c r="M38" s="446">
        <v>31</v>
      </c>
      <c r="N38" s="780"/>
      <c r="O38" s="442" t="s">
        <v>1837</v>
      </c>
      <c r="P38" s="444"/>
    </row>
    <row r="39" spans="1:16" s="293" customFormat="1" ht="20.100000000000001" customHeight="1">
      <c r="A39" s="447">
        <v>34</v>
      </c>
      <c r="B39" s="440" t="s">
        <v>235</v>
      </c>
      <c r="C39" s="441" t="s">
        <v>456</v>
      </c>
      <c r="D39" s="442" t="s">
        <v>457</v>
      </c>
      <c r="E39" s="442" t="s">
        <v>203</v>
      </c>
      <c r="F39" s="443">
        <v>44641</v>
      </c>
      <c r="G39" s="445">
        <v>31</v>
      </c>
      <c r="H39" s="444">
        <v>2</v>
      </c>
      <c r="I39" s="444">
        <v>4</v>
      </c>
      <c r="J39" s="444">
        <v>2</v>
      </c>
      <c r="K39" s="444">
        <v>23</v>
      </c>
      <c r="L39" s="446"/>
      <c r="M39" s="446">
        <v>31</v>
      </c>
      <c r="N39" s="780"/>
      <c r="O39" s="442" t="s">
        <v>1837</v>
      </c>
      <c r="P39" s="444"/>
    </row>
    <row r="40" spans="1:16" s="293" customFormat="1" ht="20.100000000000001" customHeight="1">
      <c r="A40" s="447">
        <v>35</v>
      </c>
      <c r="B40" s="440" t="s">
        <v>238</v>
      </c>
      <c r="C40" s="441" t="s">
        <v>239</v>
      </c>
      <c r="D40" s="442" t="s">
        <v>458</v>
      </c>
      <c r="E40" s="442" t="s">
        <v>203</v>
      </c>
      <c r="F40" s="443">
        <v>44625</v>
      </c>
      <c r="G40" s="445">
        <v>31</v>
      </c>
      <c r="H40" s="444">
        <v>0</v>
      </c>
      <c r="I40" s="444">
        <v>4</v>
      </c>
      <c r="J40" s="444">
        <v>2</v>
      </c>
      <c r="K40" s="444">
        <v>25</v>
      </c>
      <c r="L40" s="446"/>
      <c r="M40" s="446">
        <v>31</v>
      </c>
      <c r="N40" s="780"/>
      <c r="O40" s="442" t="s">
        <v>1837</v>
      </c>
      <c r="P40" s="444"/>
    </row>
    <row r="41" spans="1:16" s="293" customFormat="1" ht="20.100000000000001" customHeight="1">
      <c r="A41" s="447">
        <v>36</v>
      </c>
      <c r="B41" s="440" t="s">
        <v>335</v>
      </c>
      <c r="C41" s="441" t="s">
        <v>459</v>
      </c>
      <c r="D41" s="442" t="s">
        <v>460</v>
      </c>
      <c r="E41" s="442" t="s">
        <v>347</v>
      </c>
      <c r="F41" s="443">
        <v>44634</v>
      </c>
      <c r="G41" s="445">
        <v>31</v>
      </c>
      <c r="H41" s="444">
        <v>0</v>
      </c>
      <c r="I41" s="444">
        <v>4</v>
      </c>
      <c r="J41" s="444">
        <v>2</v>
      </c>
      <c r="K41" s="444">
        <v>25</v>
      </c>
      <c r="L41" s="446"/>
      <c r="M41" s="446">
        <v>31</v>
      </c>
      <c r="N41" s="780"/>
      <c r="O41" s="442" t="s">
        <v>1837</v>
      </c>
      <c r="P41" s="444"/>
    </row>
    <row r="42" spans="1:16" s="293" customFormat="1" ht="20.100000000000001" customHeight="1">
      <c r="A42" s="447">
        <v>37</v>
      </c>
      <c r="B42" s="440" t="s">
        <v>113</v>
      </c>
      <c r="C42" s="441" t="s">
        <v>114</v>
      </c>
      <c r="D42" s="442" t="s">
        <v>848</v>
      </c>
      <c r="E42" s="442" t="s">
        <v>97</v>
      </c>
      <c r="F42" s="443">
        <v>44643</v>
      </c>
      <c r="G42" s="445">
        <v>31</v>
      </c>
      <c r="H42" s="444">
        <v>1</v>
      </c>
      <c r="I42" s="444">
        <v>4</v>
      </c>
      <c r="J42" s="444">
        <v>2</v>
      </c>
      <c r="K42" s="444">
        <v>24</v>
      </c>
      <c r="L42" s="446"/>
      <c r="M42" s="446">
        <v>31</v>
      </c>
      <c r="N42" s="780"/>
      <c r="O42" s="442" t="s">
        <v>1837</v>
      </c>
      <c r="P42" s="444"/>
    </row>
    <row r="43" spans="1:16" s="293" customFormat="1" ht="20.100000000000001" customHeight="1">
      <c r="A43" s="447">
        <v>38</v>
      </c>
      <c r="B43" s="440" t="s">
        <v>116</v>
      </c>
      <c r="C43" s="441" t="s">
        <v>462</v>
      </c>
      <c r="D43" s="442" t="s">
        <v>435</v>
      </c>
      <c r="E43" s="442" t="s">
        <v>97</v>
      </c>
      <c r="F43" s="443">
        <v>44640</v>
      </c>
      <c r="G43" s="445">
        <v>31</v>
      </c>
      <c r="H43" s="444">
        <v>0</v>
      </c>
      <c r="I43" s="444">
        <v>4</v>
      </c>
      <c r="J43" s="444">
        <v>2</v>
      </c>
      <c r="K43" s="444">
        <v>25</v>
      </c>
      <c r="L43" s="446"/>
      <c r="M43" s="446">
        <v>31</v>
      </c>
      <c r="N43" s="780"/>
      <c r="O43" s="442" t="s">
        <v>1837</v>
      </c>
      <c r="P43" s="444"/>
    </row>
    <row r="44" spans="1:16" s="293" customFormat="1" ht="20.100000000000001" customHeight="1">
      <c r="A44" s="447">
        <v>39</v>
      </c>
      <c r="B44" s="440" t="s">
        <v>75</v>
      </c>
      <c r="C44" s="441" t="s">
        <v>76</v>
      </c>
      <c r="D44" s="442" t="s">
        <v>463</v>
      </c>
      <c r="E44" s="442" t="s">
        <v>74</v>
      </c>
      <c r="F44" s="443">
        <v>44634</v>
      </c>
      <c r="G44" s="445">
        <v>31</v>
      </c>
      <c r="H44" s="444">
        <v>0</v>
      </c>
      <c r="I44" s="444">
        <v>4</v>
      </c>
      <c r="J44" s="444">
        <v>2</v>
      </c>
      <c r="K44" s="444">
        <v>25</v>
      </c>
      <c r="L44" s="446"/>
      <c r="M44" s="446">
        <v>31</v>
      </c>
      <c r="N44" s="780"/>
      <c r="O44" s="442" t="s">
        <v>1837</v>
      </c>
      <c r="P44" s="444"/>
    </row>
    <row r="45" spans="1:16" s="293" customFormat="1" ht="20.100000000000001" customHeight="1">
      <c r="A45" s="447">
        <v>40</v>
      </c>
      <c r="B45" s="440" t="s">
        <v>84</v>
      </c>
      <c r="C45" s="441" t="s">
        <v>464</v>
      </c>
      <c r="D45" s="442" t="s">
        <v>463</v>
      </c>
      <c r="E45" s="442" t="s">
        <v>74</v>
      </c>
      <c r="F45" s="443">
        <v>44593</v>
      </c>
      <c r="G45" s="445">
        <v>31</v>
      </c>
      <c r="H45" s="444">
        <v>0</v>
      </c>
      <c r="I45" s="444">
        <v>4</v>
      </c>
      <c r="J45" s="444">
        <v>2</v>
      </c>
      <c r="K45" s="444">
        <v>25</v>
      </c>
      <c r="L45" s="446"/>
      <c r="M45" s="446">
        <v>31</v>
      </c>
      <c r="N45" s="780"/>
      <c r="O45" s="442" t="s">
        <v>1837</v>
      </c>
      <c r="P45" s="444"/>
    </row>
    <row r="46" spans="1:16" s="293" customFormat="1" ht="20.100000000000001" customHeight="1">
      <c r="A46" s="447">
        <v>41</v>
      </c>
      <c r="B46" s="440" t="s">
        <v>306</v>
      </c>
      <c r="C46" s="441" t="s">
        <v>465</v>
      </c>
      <c r="D46" s="442" t="s">
        <v>466</v>
      </c>
      <c r="E46" s="442" t="s">
        <v>137</v>
      </c>
      <c r="F46" s="443">
        <v>44571</v>
      </c>
      <c r="G46" s="445">
        <v>31</v>
      </c>
      <c r="H46" s="444">
        <v>0</v>
      </c>
      <c r="I46" s="444">
        <v>4</v>
      </c>
      <c r="J46" s="444">
        <v>2</v>
      </c>
      <c r="K46" s="444">
        <v>25</v>
      </c>
      <c r="L46" s="446"/>
      <c r="M46" s="446">
        <v>31</v>
      </c>
      <c r="N46" s="780"/>
      <c r="O46" s="442" t="s">
        <v>1837</v>
      </c>
      <c r="P46" s="444"/>
    </row>
    <row r="47" spans="1:16" s="293" customFormat="1" ht="20.100000000000001" customHeight="1">
      <c r="A47" s="447">
        <v>42</v>
      </c>
      <c r="B47" s="440" t="s">
        <v>308</v>
      </c>
      <c r="C47" s="441" t="s">
        <v>467</v>
      </c>
      <c r="D47" s="442" t="s">
        <v>466</v>
      </c>
      <c r="E47" s="442" t="s">
        <v>137</v>
      </c>
      <c r="F47" s="443">
        <v>44583</v>
      </c>
      <c r="G47" s="445">
        <v>31</v>
      </c>
      <c r="H47" s="444">
        <v>0</v>
      </c>
      <c r="I47" s="444">
        <v>4</v>
      </c>
      <c r="J47" s="444">
        <v>2</v>
      </c>
      <c r="K47" s="444">
        <v>25</v>
      </c>
      <c r="L47" s="446"/>
      <c r="M47" s="446">
        <v>31</v>
      </c>
      <c r="N47" s="780"/>
      <c r="O47" s="442" t="s">
        <v>1837</v>
      </c>
      <c r="P47" s="444"/>
    </row>
    <row r="48" spans="1:16" s="293" customFormat="1" ht="20.100000000000001" customHeight="1">
      <c r="A48" s="447">
        <v>43</v>
      </c>
      <c r="B48" s="440" t="s">
        <v>358</v>
      </c>
      <c r="C48" s="441" t="s">
        <v>359</v>
      </c>
      <c r="D48" s="442" t="s">
        <v>552</v>
      </c>
      <c r="E48" s="442" t="s">
        <v>1111</v>
      </c>
      <c r="F48" s="443">
        <v>44667</v>
      </c>
      <c r="G48" s="445">
        <v>31</v>
      </c>
      <c r="H48" s="444">
        <v>0</v>
      </c>
      <c r="I48" s="444">
        <v>4</v>
      </c>
      <c r="J48" s="444">
        <v>2</v>
      </c>
      <c r="K48" s="444">
        <v>25</v>
      </c>
      <c r="L48" s="446"/>
      <c r="M48" s="446">
        <v>31</v>
      </c>
      <c r="N48" s="780"/>
      <c r="O48" s="442" t="s">
        <v>1837</v>
      </c>
      <c r="P48" s="444"/>
    </row>
    <row r="49" spans="1:16" s="293" customFormat="1" ht="20.100000000000001" customHeight="1">
      <c r="A49" s="447">
        <v>44</v>
      </c>
      <c r="B49" s="440" t="s">
        <v>61</v>
      </c>
      <c r="C49" s="441" t="s">
        <v>62</v>
      </c>
      <c r="D49" s="442" t="s">
        <v>468</v>
      </c>
      <c r="E49" s="442" t="s">
        <v>426</v>
      </c>
      <c r="F49" s="443">
        <v>44604</v>
      </c>
      <c r="G49" s="445">
        <v>31</v>
      </c>
      <c r="H49" s="444">
        <v>2</v>
      </c>
      <c r="I49" s="444">
        <v>4</v>
      </c>
      <c r="J49" s="444">
        <v>2</v>
      </c>
      <c r="K49" s="444">
        <v>23</v>
      </c>
      <c r="L49" s="446"/>
      <c r="M49" s="446">
        <v>31</v>
      </c>
      <c r="N49" s="780"/>
      <c r="O49" s="442" t="s">
        <v>1837</v>
      </c>
      <c r="P49" s="444"/>
    </row>
    <row r="50" spans="1:16" s="293" customFormat="1" ht="20.100000000000001" customHeight="1">
      <c r="A50" s="447">
        <v>45</v>
      </c>
      <c r="B50" s="440" t="s">
        <v>320</v>
      </c>
      <c r="C50" s="441" t="s">
        <v>321</v>
      </c>
      <c r="D50" s="442" t="s">
        <v>460</v>
      </c>
      <c r="E50" s="442" t="s">
        <v>347</v>
      </c>
      <c r="F50" s="443">
        <v>44674</v>
      </c>
      <c r="G50" s="445">
        <v>31</v>
      </c>
      <c r="H50" s="444">
        <v>0</v>
      </c>
      <c r="I50" s="444">
        <v>4</v>
      </c>
      <c r="J50" s="444">
        <v>2</v>
      </c>
      <c r="K50" s="444">
        <v>25</v>
      </c>
      <c r="L50" s="446"/>
      <c r="M50" s="446">
        <v>31</v>
      </c>
      <c r="N50" s="780"/>
      <c r="O50" s="442" t="s">
        <v>1837</v>
      </c>
      <c r="P50" s="444"/>
    </row>
    <row r="51" spans="1:16" s="293" customFormat="1" ht="20.100000000000001" customHeight="1">
      <c r="A51" s="447">
        <v>46</v>
      </c>
      <c r="B51" s="440" t="s">
        <v>323</v>
      </c>
      <c r="C51" s="441" t="s">
        <v>324</v>
      </c>
      <c r="D51" s="442" t="s">
        <v>460</v>
      </c>
      <c r="E51" s="442" t="s">
        <v>347</v>
      </c>
      <c r="F51" s="443">
        <v>44650</v>
      </c>
      <c r="G51" s="445">
        <v>31</v>
      </c>
      <c r="H51" s="444">
        <v>0</v>
      </c>
      <c r="I51" s="444">
        <v>4</v>
      </c>
      <c r="J51" s="444">
        <v>2</v>
      </c>
      <c r="K51" s="444">
        <v>25</v>
      </c>
      <c r="L51" s="446"/>
      <c r="M51" s="446">
        <v>31</v>
      </c>
      <c r="N51" s="780"/>
      <c r="O51" s="442" t="s">
        <v>1837</v>
      </c>
      <c r="P51" s="444"/>
    </row>
    <row r="52" spans="1:16" s="293" customFormat="1" ht="20.100000000000001" customHeight="1">
      <c r="A52" s="447">
        <v>47</v>
      </c>
      <c r="B52" s="440" t="s">
        <v>326</v>
      </c>
      <c r="C52" s="441" t="s">
        <v>327</v>
      </c>
      <c r="D52" s="442" t="s">
        <v>460</v>
      </c>
      <c r="E52" s="442" t="s">
        <v>347</v>
      </c>
      <c r="F52" s="443">
        <v>44653</v>
      </c>
      <c r="G52" s="445">
        <v>31</v>
      </c>
      <c r="H52" s="444">
        <v>1</v>
      </c>
      <c r="I52" s="444">
        <v>4</v>
      </c>
      <c r="J52" s="444">
        <v>2</v>
      </c>
      <c r="K52" s="444">
        <v>24</v>
      </c>
      <c r="L52" s="446"/>
      <c r="M52" s="446">
        <v>31</v>
      </c>
      <c r="N52" s="780"/>
      <c r="O52" s="442" t="s">
        <v>1837</v>
      </c>
      <c r="P52" s="444"/>
    </row>
    <row r="53" spans="1:16" s="293" customFormat="1" ht="20.100000000000001" customHeight="1">
      <c r="A53" s="447">
        <v>48</v>
      </c>
      <c r="B53" s="440" t="s">
        <v>329</v>
      </c>
      <c r="C53" s="441" t="s">
        <v>330</v>
      </c>
      <c r="D53" s="442" t="s">
        <v>470</v>
      </c>
      <c r="E53" s="442" t="s">
        <v>347</v>
      </c>
      <c r="F53" s="443">
        <v>44661</v>
      </c>
      <c r="G53" s="445">
        <v>31</v>
      </c>
      <c r="H53" s="444">
        <v>0</v>
      </c>
      <c r="I53" s="444">
        <v>4</v>
      </c>
      <c r="J53" s="444">
        <v>2</v>
      </c>
      <c r="K53" s="444">
        <v>25</v>
      </c>
      <c r="L53" s="446"/>
      <c r="M53" s="446">
        <v>31</v>
      </c>
      <c r="N53" s="780"/>
      <c r="O53" s="442" t="s">
        <v>1837</v>
      </c>
      <c r="P53" s="444"/>
    </row>
    <row r="54" spans="1:16" s="293" customFormat="1" ht="20.100000000000001" customHeight="1">
      <c r="A54" s="447">
        <v>49</v>
      </c>
      <c r="B54" s="440" t="s">
        <v>118</v>
      </c>
      <c r="C54" s="441" t="s">
        <v>119</v>
      </c>
      <c r="D54" s="442" t="s">
        <v>432</v>
      </c>
      <c r="E54" s="442" t="s">
        <v>97</v>
      </c>
      <c r="F54" s="443">
        <v>44665</v>
      </c>
      <c r="G54" s="445">
        <v>31</v>
      </c>
      <c r="H54" s="444">
        <v>0</v>
      </c>
      <c r="I54" s="444">
        <v>4</v>
      </c>
      <c r="J54" s="444">
        <v>2</v>
      </c>
      <c r="K54" s="444">
        <v>25</v>
      </c>
      <c r="L54" s="446"/>
      <c r="M54" s="446">
        <v>31</v>
      </c>
      <c r="N54" s="780"/>
      <c r="O54" s="442" t="s">
        <v>1837</v>
      </c>
      <c r="P54" s="444"/>
    </row>
    <row r="55" spans="1:16" s="293" customFormat="1" ht="20.100000000000001" customHeight="1">
      <c r="A55" s="447">
        <v>50</v>
      </c>
      <c r="B55" s="440" t="s">
        <v>120</v>
      </c>
      <c r="C55" s="441" t="s">
        <v>121</v>
      </c>
      <c r="D55" s="442" t="s">
        <v>435</v>
      </c>
      <c r="E55" s="442" t="s">
        <v>97</v>
      </c>
      <c r="F55" s="443">
        <v>44650</v>
      </c>
      <c r="G55" s="445">
        <v>31</v>
      </c>
      <c r="H55" s="444">
        <v>0</v>
      </c>
      <c r="I55" s="444">
        <v>4</v>
      </c>
      <c r="J55" s="444">
        <v>2</v>
      </c>
      <c r="K55" s="444">
        <v>25</v>
      </c>
      <c r="L55" s="446"/>
      <c r="M55" s="446">
        <v>31</v>
      </c>
      <c r="N55" s="780"/>
      <c r="O55" s="442" t="s">
        <v>1837</v>
      </c>
      <c r="P55" s="444"/>
    </row>
    <row r="56" spans="1:16" s="293" customFormat="1" ht="20.100000000000001" customHeight="1">
      <c r="A56" s="447">
        <v>51</v>
      </c>
      <c r="B56" s="440" t="s">
        <v>123</v>
      </c>
      <c r="C56" s="441" t="s">
        <v>471</v>
      </c>
      <c r="D56" s="442" t="s">
        <v>439</v>
      </c>
      <c r="E56" s="442" t="s">
        <v>97</v>
      </c>
      <c r="F56" s="443">
        <v>44655</v>
      </c>
      <c r="G56" s="445">
        <v>31</v>
      </c>
      <c r="H56" s="444">
        <v>2</v>
      </c>
      <c r="I56" s="444">
        <v>4</v>
      </c>
      <c r="J56" s="444">
        <v>2</v>
      </c>
      <c r="K56" s="444">
        <v>23</v>
      </c>
      <c r="L56" s="446"/>
      <c r="M56" s="446">
        <v>31</v>
      </c>
      <c r="N56" s="780"/>
      <c r="O56" s="442" t="s">
        <v>1837</v>
      </c>
      <c r="P56" s="444"/>
    </row>
    <row r="57" spans="1:16" s="293" customFormat="1" ht="20.100000000000001" customHeight="1">
      <c r="A57" s="447">
        <v>52</v>
      </c>
      <c r="B57" s="440" t="s">
        <v>126</v>
      </c>
      <c r="C57" s="441" t="s">
        <v>472</v>
      </c>
      <c r="D57" s="442" t="s">
        <v>439</v>
      </c>
      <c r="E57" s="442" t="s">
        <v>97</v>
      </c>
      <c r="F57" s="443">
        <v>44655</v>
      </c>
      <c r="G57" s="445">
        <v>31</v>
      </c>
      <c r="H57" s="444">
        <v>0</v>
      </c>
      <c r="I57" s="444">
        <v>4</v>
      </c>
      <c r="J57" s="444">
        <v>2</v>
      </c>
      <c r="K57" s="444">
        <v>25</v>
      </c>
      <c r="L57" s="446"/>
      <c r="M57" s="446">
        <v>31</v>
      </c>
      <c r="N57" s="780"/>
      <c r="O57" s="442" t="s">
        <v>1837</v>
      </c>
      <c r="P57" s="444"/>
    </row>
    <row r="58" spans="1:16" s="293" customFormat="1" ht="20.100000000000001" customHeight="1">
      <c r="A58" s="447">
        <v>53</v>
      </c>
      <c r="B58" s="440" t="s">
        <v>129</v>
      </c>
      <c r="C58" s="441" t="s">
        <v>130</v>
      </c>
      <c r="D58" s="442" t="s">
        <v>439</v>
      </c>
      <c r="E58" s="442" t="s">
        <v>97</v>
      </c>
      <c r="F58" s="443">
        <v>44655</v>
      </c>
      <c r="G58" s="445">
        <v>31</v>
      </c>
      <c r="H58" s="444">
        <v>1</v>
      </c>
      <c r="I58" s="444">
        <v>4</v>
      </c>
      <c r="J58" s="444">
        <v>2</v>
      </c>
      <c r="K58" s="444">
        <v>24</v>
      </c>
      <c r="L58" s="446"/>
      <c r="M58" s="446">
        <v>31</v>
      </c>
      <c r="N58" s="780"/>
      <c r="O58" s="442" t="s">
        <v>1837</v>
      </c>
      <c r="P58" s="444"/>
    </row>
    <row r="59" spans="1:16" s="293" customFormat="1" ht="20.100000000000001" customHeight="1">
      <c r="A59" s="447">
        <v>54</v>
      </c>
      <c r="B59" s="440" t="s">
        <v>132</v>
      </c>
      <c r="C59" s="441" t="s">
        <v>133</v>
      </c>
      <c r="D59" s="442" t="s">
        <v>435</v>
      </c>
      <c r="E59" s="442" t="s">
        <v>97</v>
      </c>
      <c r="F59" s="443">
        <v>44658</v>
      </c>
      <c r="G59" s="445">
        <v>31</v>
      </c>
      <c r="H59" s="444">
        <v>1</v>
      </c>
      <c r="I59" s="444">
        <v>4</v>
      </c>
      <c r="J59" s="444">
        <v>2</v>
      </c>
      <c r="K59" s="444">
        <v>24</v>
      </c>
      <c r="L59" s="446"/>
      <c r="M59" s="446">
        <v>31</v>
      </c>
      <c r="N59" s="780"/>
      <c r="O59" s="442" t="s">
        <v>1837</v>
      </c>
      <c r="P59" s="444"/>
    </row>
    <row r="60" spans="1:16" s="293" customFormat="1" ht="20.100000000000001" customHeight="1">
      <c r="A60" s="447">
        <v>55</v>
      </c>
      <c r="B60" s="440" t="s">
        <v>72</v>
      </c>
      <c r="C60" s="441" t="s">
        <v>474</v>
      </c>
      <c r="D60" s="442" t="s">
        <v>463</v>
      </c>
      <c r="E60" s="442" t="s">
        <v>74</v>
      </c>
      <c r="F60" s="443">
        <v>44593</v>
      </c>
      <c r="G60" s="445">
        <v>31</v>
      </c>
      <c r="H60" s="444">
        <v>4</v>
      </c>
      <c r="I60" s="444">
        <v>4</v>
      </c>
      <c r="J60" s="444">
        <v>2</v>
      </c>
      <c r="K60" s="444">
        <v>21</v>
      </c>
      <c r="L60" s="446"/>
      <c r="M60" s="446">
        <v>31</v>
      </c>
      <c r="N60" s="780"/>
      <c r="O60" s="442" t="s">
        <v>1837</v>
      </c>
      <c r="P60" s="444" t="s">
        <v>1664</v>
      </c>
    </row>
    <row r="61" spans="1:16" s="293" customFormat="1" ht="20.100000000000001" customHeight="1">
      <c r="A61" s="447">
        <v>56</v>
      </c>
      <c r="B61" s="440" t="s">
        <v>293</v>
      </c>
      <c r="C61" s="441" t="s">
        <v>294</v>
      </c>
      <c r="D61" s="442" t="s">
        <v>475</v>
      </c>
      <c r="E61" s="442" t="s">
        <v>292</v>
      </c>
      <c r="F61" s="443">
        <v>44652</v>
      </c>
      <c r="G61" s="445">
        <v>31</v>
      </c>
      <c r="H61" s="444">
        <v>0</v>
      </c>
      <c r="I61" s="444">
        <v>4</v>
      </c>
      <c r="J61" s="444">
        <v>2</v>
      </c>
      <c r="K61" s="444">
        <v>25</v>
      </c>
      <c r="L61" s="446"/>
      <c r="M61" s="446">
        <v>31</v>
      </c>
      <c r="N61" s="780"/>
      <c r="O61" s="442" t="s">
        <v>1837</v>
      </c>
      <c r="P61" s="444"/>
    </row>
    <row r="62" spans="1:16" s="293" customFormat="1" ht="20.100000000000001" customHeight="1">
      <c r="A62" s="447">
        <v>57</v>
      </c>
      <c r="B62" s="440" t="s">
        <v>135</v>
      </c>
      <c r="C62" s="441" t="s">
        <v>136</v>
      </c>
      <c r="D62" s="442" t="s">
        <v>466</v>
      </c>
      <c r="E62" s="442" t="s">
        <v>137</v>
      </c>
      <c r="F62" s="443">
        <v>44667</v>
      </c>
      <c r="G62" s="445">
        <v>31</v>
      </c>
      <c r="H62" s="444">
        <v>0</v>
      </c>
      <c r="I62" s="444">
        <v>4</v>
      </c>
      <c r="J62" s="444">
        <v>2</v>
      </c>
      <c r="K62" s="444">
        <v>25</v>
      </c>
      <c r="L62" s="446"/>
      <c r="M62" s="446">
        <v>31</v>
      </c>
      <c r="N62" s="780"/>
      <c r="O62" s="442" t="s">
        <v>1837</v>
      </c>
      <c r="P62" s="444"/>
    </row>
    <row r="63" spans="1:16" s="293" customFormat="1" ht="20.100000000000001" customHeight="1">
      <c r="A63" s="447">
        <v>58</v>
      </c>
      <c r="B63" s="440" t="s">
        <v>139</v>
      </c>
      <c r="C63" s="441" t="s">
        <v>140</v>
      </c>
      <c r="D63" s="442" t="s">
        <v>466</v>
      </c>
      <c r="E63" s="442" t="s">
        <v>137</v>
      </c>
      <c r="F63" s="443">
        <v>44663</v>
      </c>
      <c r="G63" s="445">
        <v>31</v>
      </c>
      <c r="H63" s="444">
        <v>0</v>
      </c>
      <c r="I63" s="444">
        <v>4</v>
      </c>
      <c r="J63" s="444">
        <v>2</v>
      </c>
      <c r="K63" s="444">
        <v>25</v>
      </c>
      <c r="L63" s="446"/>
      <c r="M63" s="446">
        <v>31</v>
      </c>
      <c r="N63" s="780"/>
      <c r="O63" s="442" t="s">
        <v>1837</v>
      </c>
      <c r="P63" s="444"/>
    </row>
    <row r="64" spans="1:16" s="293" customFormat="1" ht="20.100000000000001" customHeight="1">
      <c r="A64" s="447">
        <v>59</v>
      </c>
      <c r="B64" s="440" t="s">
        <v>52</v>
      </c>
      <c r="C64" s="441" t="s">
        <v>53</v>
      </c>
      <c r="D64" s="442" t="s">
        <v>476</v>
      </c>
      <c r="E64" s="442" t="s">
        <v>426</v>
      </c>
      <c r="F64" s="443">
        <v>44661</v>
      </c>
      <c r="G64" s="445">
        <v>31</v>
      </c>
      <c r="H64" s="444">
        <v>0</v>
      </c>
      <c r="I64" s="444">
        <v>4</v>
      </c>
      <c r="J64" s="444">
        <v>2</v>
      </c>
      <c r="K64" s="444">
        <v>25</v>
      </c>
      <c r="L64" s="446"/>
      <c r="M64" s="446">
        <v>31</v>
      </c>
      <c r="N64" s="780"/>
      <c r="O64" s="442" t="s">
        <v>1837</v>
      </c>
      <c r="P64" s="444"/>
    </row>
    <row r="65" spans="1:16" s="293" customFormat="1" ht="20.100000000000001" customHeight="1">
      <c r="A65" s="447">
        <v>60</v>
      </c>
      <c r="B65" s="440" t="s">
        <v>142</v>
      </c>
      <c r="C65" s="441" t="s">
        <v>143</v>
      </c>
      <c r="D65" s="442" t="s">
        <v>435</v>
      </c>
      <c r="E65" s="442" t="s">
        <v>97</v>
      </c>
      <c r="F65" s="443">
        <v>44669</v>
      </c>
      <c r="G65" s="445">
        <v>31</v>
      </c>
      <c r="H65" s="444">
        <v>0</v>
      </c>
      <c r="I65" s="444">
        <v>4</v>
      </c>
      <c r="J65" s="444">
        <v>2</v>
      </c>
      <c r="K65" s="444">
        <v>25</v>
      </c>
      <c r="L65" s="446"/>
      <c r="M65" s="446">
        <v>31</v>
      </c>
      <c r="N65" s="780"/>
      <c r="O65" s="442" t="s">
        <v>1837</v>
      </c>
      <c r="P65" s="444"/>
    </row>
    <row r="66" spans="1:16" s="293" customFormat="1" ht="20.100000000000001" customHeight="1">
      <c r="A66" s="447">
        <v>61</v>
      </c>
      <c r="B66" s="440" t="s">
        <v>145</v>
      </c>
      <c r="C66" s="441" t="s">
        <v>146</v>
      </c>
      <c r="D66" s="442" t="s">
        <v>439</v>
      </c>
      <c r="E66" s="442" t="s">
        <v>97</v>
      </c>
      <c r="F66" s="443">
        <v>44673</v>
      </c>
      <c r="G66" s="445">
        <v>31</v>
      </c>
      <c r="H66" s="444">
        <v>0</v>
      </c>
      <c r="I66" s="444">
        <v>4</v>
      </c>
      <c r="J66" s="444">
        <v>2</v>
      </c>
      <c r="K66" s="444">
        <v>25</v>
      </c>
      <c r="L66" s="446"/>
      <c r="M66" s="446">
        <v>31</v>
      </c>
      <c r="N66" s="780"/>
      <c r="O66" s="442" t="s">
        <v>1837</v>
      </c>
      <c r="P66" s="444"/>
    </row>
    <row r="67" spans="1:16" s="293" customFormat="1" ht="20.100000000000001" customHeight="1">
      <c r="A67" s="447">
        <v>62</v>
      </c>
      <c r="B67" s="440" t="s">
        <v>78</v>
      </c>
      <c r="C67" s="441" t="s">
        <v>477</v>
      </c>
      <c r="D67" s="442" t="s">
        <v>463</v>
      </c>
      <c r="E67" s="442" t="s">
        <v>74</v>
      </c>
      <c r="F67" s="443">
        <v>44675</v>
      </c>
      <c r="G67" s="445">
        <v>31</v>
      </c>
      <c r="H67" s="444">
        <v>0</v>
      </c>
      <c r="I67" s="444">
        <v>4</v>
      </c>
      <c r="J67" s="444">
        <v>2</v>
      </c>
      <c r="K67" s="444">
        <v>25</v>
      </c>
      <c r="L67" s="446"/>
      <c r="M67" s="446">
        <v>31</v>
      </c>
      <c r="N67" s="780"/>
      <c r="O67" s="442" t="s">
        <v>1837</v>
      </c>
      <c r="P67" s="444"/>
    </row>
    <row r="68" spans="1:16" s="293" customFormat="1" ht="20.100000000000001" customHeight="1">
      <c r="A68" s="447">
        <v>63</v>
      </c>
      <c r="B68" s="440" t="s">
        <v>148</v>
      </c>
      <c r="C68" s="441" t="s">
        <v>149</v>
      </c>
      <c r="D68" s="442" t="s">
        <v>1067</v>
      </c>
      <c r="E68" s="442" t="s">
        <v>97</v>
      </c>
      <c r="F68" s="443">
        <v>44695</v>
      </c>
      <c r="G68" s="445">
        <v>31</v>
      </c>
      <c r="H68" s="444">
        <v>0</v>
      </c>
      <c r="I68" s="444">
        <v>4</v>
      </c>
      <c r="J68" s="444">
        <v>2</v>
      </c>
      <c r="K68" s="444">
        <v>25</v>
      </c>
      <c r="L68" s="446"/>
      <c r="M68" s="446">
        <v>31</v>
      </c>
      <c r="N68" s="780"/>
      <c r="O68" s="442" t="s">
        <v>1837</v>
      </c>
      <c r="P68" s="444"/>
    </row>
    <row r="69" spans="1:16" s="293" customFormat="1" ht="20.100000000000001" customHeight="1">
      <c r="A69" s="447">
        <v>64</v>
      </c>
      <c r="B69" s="440" t="s">
        <v>151</v>
      </c>
      <c r="C69" s="441" t="s">
        <v>152</v>
      </c>
      <c r="D69" s="442" t="s">
        <v>480</v>
      </c>
      <c r="E69" s="442" t="s">
        <v>97</v>
      </c>
      <c r="F69" s="443">
        <v>44700</v>
      </c>
      <c r="G69" s="445">
        <v>31</v>
      </c>
      <c r="H69" s="444">
        <v>1</v>
      </c>
      <c r="I69" s="444">
        <v>4</v>
      </c>
      <c r="J69" s="444">
        <v>2</v>
      </c>
      <c r="K69" s="444">
        <v>16</v>
      </c>
      <c r="L69" s="446">
        <v>8</v>
      </c>
      <c r="M69" s="446">
        <v>23</v>
      </c>
      <c r="N69" s="780"/>
      <c r="O69" s="442" t="s">
        <v>1837</v>
      </c>
      <c r="P69" s="444"/>
    </row>
    <row r="70" spans="1:16" s="293" customFormat="1" ht="20.100000000000001" customHeight="1">
      <c r="A70" s="447">
        <v>65</v>
      </c>
      <c r="B70" s="440" t="s">
        <v>154</v>
      </c>
      <c r="C70" s="441" t="s">
        <v>155</v>
      </c>
      <c r="D70" s="442" t="s">
        <v>435</v>
      </c>
      <c r="E70" s="442" t="s">
        <v>97</v>
      </c>
      <c r="F70" s="443">
        <v>44687</v>
      </c>
      <c r="G70" s="445">
        <v>31</v>
      </c>
      <c r="H70" s="444">
        <v>0</v>
      </c>
      <c r="I70" s="444">
        <v>4</v>
      </c>
      <c r="J70" s="444">
        <v>2</v>
      </c>
      <c r="K70" s="444">
        <v>25</v>
      </c>
      <c r="L70" s="446"/>
      <c r="M70" s="446">
        <v>31</v>
      </c>
      <c r="N70" s="780"/>
      <c r="O70" s="442" t="s">
        <v>1837</v>
      </c>
      <c r="P70" s="444"/>
    </row>
    <row r="71" spans="1:16" s="293" customFormat="1" ht="20.100000000000001" customHeight="1">
      <c r="A71" s="447">
        <v>66</v>
      </c>
      <c r="B71" s="440" t="s">
        <v>296</v>
      </c>
      <c r="C71" s="441" t="s">
        <v>297</v>
      </c>
      <c r="D71" s="442" t="s">
        <v>511</v>
      </c>
      <c r="E71" s="442" t="s">
        <v>292</v>
      </c>
      <c r="F71" s="443">
        <v>44714</v>
      </c>
      <c r="G71" s="445">
        <v>31</v>
      </c>
      <c r="H71" s="444">
        <v>1</v>
      </c>
      <c r="I71" s="444">
        <v>4</v>
      </c>
      <c r="J71" s="444">
        <v>2</v>
      </c>
      <c r="K71" s="444">
        <v>24</v>
      </c>
      <c r="L71" s="446"/>
      <c r="M71" s="446">
        <v>31</v>
      </c>
      <c r="N71" s="780"/>
      <c r="O71" s="442" t="s">
        <v>1837</v>
      </c>
      <c r="P71" s="444"/>
    </row>
    <row r="72" spans="1:16" s="293" customFormat="1" ht="20.100000000000001" customHeight="1">
      <c r="A72" s="447">
        <v>67</v>
      </c>
      <c r="B72" s="440" t="s">
        <v>299</v>
      </c>
      <c r="C72" s="441" t="s">
        <v>300</v>
      </c>
      <c r="D72" s="442" t="s">
        <v>478</v>
      </c>
      <c r="E72" s="442" t="s">
        <v>292</v>
      </c>
      <c r="F72" s="443">
        <v>44716</v>
      </c>
      <c r="G72" s="445">
        <v>31</v>
      </c>
      <c r="H72" s="444">
        <v>1</v>
      </c>
      <c r="I72" s="444">
        <v>4</v>
      </c>
      <c r="J72" s="444">
        <v>2</v>
      </c>
      <c r="K72" s="444">
        <v>24</v>
      </c>
      <c r="L72" s="446"/>
      <c r="M72" s="446">
        <v>31</v>
      </c>
      <c r="N72" s="780"/>
      <c r="O72" s="442" t="s">
        <v>1837</v>
      </c>
      <c r="P72" s="444"/>
    </row>
    <row r="73" spans="1:16" s="293" customFormat="1" ht="20.100000000000001" customHeight="1">
      <c r="A73" s="447">
        <v>68</v>
      </c>
      <c r="B73" s="440" t="s">
        <v>49</v>
      </c>
      <c r="C73" s="441" t="s">
        <v>50</v>
      </c>
      <c r="D73" s="442" t="s">
        <v>436</v>
      </c>
      <c r="E73" s="442" t="s">
        <v>426</v>
      </c>
      <c r="F73" s="443">
        <v>44713</v>
      </c>
      <c r="G73" s="445">
        <v>31</v>
      </c>
      <c r="H73" s="444">
        <v>0</v>
      </c>
      <c r="I73" s="444">
        <v>4</v>
      </c>
      <c r="J73" s="444">
        <v>2</v>
      </c>
      <c r="K73" s="444">
        <v>25</v>
      </c>
      <c r="L73" s="446"/>
      <c r="M73" s="446">
        <v>31</v>
      </c>
      <c r="N73" s="780"/>
      <c r="O73" s="442" t="s">
        <v>1837</v>
      </c>
      <c r="P73" s="444"/>
    </row>
    <row r="74" spans="1:16" s="293" customFormat="1" ht="20.100000000000001" customHeight="1">
      <c r="A74" s="447">
        <v>69</v>
      </c>
      <c r="B74" s="440" t="s">
        <v>265</v>
      </c>
      <c r="C74" s="441" t="s">
        <v>266</v>
      </c>
      <c r="D74" s="442" t="s">
        <v>881</v>
      </c>
      <c r="E74" s="442" t="s">
        <v>1221</v>
      </c>
      <c r="F74" s="443">
        <v>44713</v>
      </c>
      <c r="G74" s="445">
        <v>31</v>
      </c>
      <c r="H74" s="444">
        <v>0</v>
      </c>
      <c r="I74" s="444">
        <v>4</v>
      </c>
      <c r="J74" s="444">
        <v>2</v>
      </c>
      <c r="K74" s="444">
        <v>25</v>
      </c>
      <c r="L74" s="446"/>
      <c r="M74" s="446">
        <v>31</v>
      </c>
      <c r="N74" s="780"/>
      <c r="O74" s="442" t="s">
        <v>1837</v>
      </c>
      <c r="P74" s="444"/>
    </row>
    <row r="75" spans="1:16" s="293" customFormat="1" ht="20.100000000000001" customHeight="1">
      <c r="A75" s="447">
        <v>70</v>
      </c>
      <c r="B75" s="440" t="s">
        <v>512</v>
      </c>
      <c r="C75" s="441" t="s">
        <v>513</v>
      </c>
      <c r="D75" s="442" t="s">
        <v>435</v>
      </c>
      <c r="E75" s="442" t="s">
        <v>97</v>
      </c>
      <c r="F75" s="443">
        <v>44694</v>
      </c>
      <c r="G75" s="445">
        <v>31</v>
      </c>
      <c r="H75" s="444">
        <v>0</v>
      </c>
      <c r="I75" s="444">
        <v>4</v>
      </c>
      <c r="J75" s="444">
        <v>2</v>
      </c>
      <c r="K75" s="444">
        <v>25</v>
      </c>
      <c r="L75" s="446"/>
      <c r="M75" s="446">
        <v>31</v>
      </c>
      <c r="N75" s="780"/>
      <c r="O75" s="442" t="s">
        <v>1837</v>
      </c>
      <c r="P75" s="444"/>
    </row>
    <row r="76" spans="1:16" s="293" customFormat="1" ht="20.100000000000001" customHeight="1">
      <c r="A76" s="447">
        <v>71</v>
      </c>
      <c r="B76" s="440" t="s">
        <v>341</v>
      </c>
      <c r="C76" s="441" t="s">
        <v>342</v>
      </c>
      <c r="D76" s="442" t="s">
        <v>481</v>
      </c>
      <c r="E76" s="442" t="s">
        <v>347</v>
      </c>
      <c r="F76" s="443">
        <v>44698</v>
      </c>
      <c r="G76" s="445">
        <v>31</v>
      </c>
      <c r="H76" s="444">
        <v>2</v>
      </c>
      <c r="I76" s="444">
        <v>4</v>
      </c>
      <c r="J76" s="444">
        <v>2</v>
      </c>
      <c r="K76" s="444">
        <v>23</v>
      </c>
      <c r="L76" s="446"/>
      <c r="M76" s="446">
        <v>31</v>
      </c>
      <c r="N76" s="780"/>
      <c r="O76" s="442" t="s">
        <v>1837</v>
      </c>
      <c r="P76" s="444"/>
    </row>
    <row r="77" spans="1:16" s="293" customFormat="1" ht="20.100000000000001" customHeight="1">
      <c r="A77" s="447">
        <v>72</v>
      </c>
      <c r="B77" s="440" t="s">
        <v>343</v>
      </c>
      <c r="C77" s="441" t="s">
        <v>344</v>
      </c>
      <c r="D77" s="442" t="s">
        <v>488</v>
      </c>
      <c r="E77" s="442" t="s">
        <v>347</v>
      </c>
      <c r="F77" s="443">
        <v>44714</v>
      </c>
      <c r="G77" s="445">
        <v>31</v>
      </c>
      <c r="H77" s="444">
        <v>0</v>
      </c>
      <c r="I77" s="444">
        <v>4</v>
      </c>
      <c r="J77" s="444">
        <v>2</v>
      </c>
      <c r="K77" s="444">
        <v>25</v>
      </c>
      <c r="L77" s="446"/>
      <c r="M77" s="446">
        <v>31</v>
      </c>
      <c r="N77" s="780"/>
      <c r="O77" s="442" t="s">
        <v>1837</v>
      </c>
      <c r="P77" s="444"/>
    </row>
    <row r="78" spans="1:16" s="293" customFormat="1" ht="20.100000000000001" customHeight="1">
      <c r="A78" s="447">
        <v>73</v>
      </c>
      <c r="B78" s="440" t="s">
        <v>157</v>
      </c>
      <c r="C78" s="441" t="s">
        <v>158</v>
      </c>
      <c r="D78" s="442" t="s">
        <v>439</v>
      </c>
      <c r="E78" s="442" t="s">
        <v>97</v>
      </c>
      <c r="F78" s="443">
        <v>44713</v>
      </c>
      <c r="G78" s="445">
        <v>31</v>
      </c>
      <c r="H78" s="444">
        <v>13</v>
      </c>
      <c r="I78" s="444">
        <v>4</v>
      </c>
      <c r="J78" s="444">
        <v>2</v>
      </c>
      <c r="K78" s="444">
        <v>12</v>
      </c>
      <c r="L78" s="446"/>
      <c r="M78" s="446">
        <v>31</v>
      </c>
      <c r="N78" s="780"/>
      <c r="O78" s="442" t="s">
        <v>1837</v>
      </c>
      <c r="P78" s="444"/>
    </row>
    <row r="79" spans="1:16" s="293" customFormat="1" ht="20.100000000000001" customHeight="1">
      <c r="A79" s="447">
        <v>74</v>
      </c>
      <c r="B79" s="440" t="s">
        <v>160</v>
      </c>
      <c r="C79" s="441" t="s">
        <v>161</v>
      </c>
      <c r="D79" s="442" t="s">
        <v>439</v>
      </c>
      <c r="E79" s="442" t="s">
        <v>97</v>
      </c>
      <c r="F79" s="443">
        <v>44713</v>
      </c>
      <c r="G79" s="445">
        <v>31</v>
      </c>
      <c r="H79" s="444">
        <v>0</v>
      </c>
      <c r="I79" s="444">
        <v>4</v>
      </c>
      <c r="J79" s="444">
        <v>2</v>
      </c>
      <c r="K79" s="444">
        <v>25</v>
      </c>
      <c r="L79" s="446"/>
      <c r="M79" s="446">
        <v>31</v>
      </c>
      <c r="N79" s="780"/>
      <c r="O79" s="442" t="s">
        <v>1837</v>
      </c>
      <c r="P79" s="444"/>
    </row>
    <row r="80" spans="1:16" s="293" customFormat="1" ht="20.100000000000001" customHeight="1">
      <c r="A80" s="447">
        <v>75</v>
      </c>
      <c r="B80" s="440" t="s">
        <v>366</v>
      </c>
      <c r="C80" s="441" t="s">
        <v>367</v>
      </c>
      <c r="D80" s="442" t="s">
        <v>604</v>
      </c>
      <c r="E80" s="442" t="s">
        <v>1111</v>
      </c>
      <c r="F80" s="443">
        <v>44744</v>
      </c>
      <c r="G80" s="445">
        <v>31</v>
      </c>
      <c r="H80" s="444">
        <v>0</v>
      </c>
      <c r="I80" s="444">
        <v>4</v>
      </c>
      <c r="J80" s="444">
        <v>2</v>
      </c>
      <c r="K80" s="444">
        <v>25</v>
      </c>
      <c r="L80" s="446"/>
      <c r="M80" s="446">
        <v>31</v>
      </c>
      <c r="N80" s="780"/>
      <c r="O80" s="442" t="s">
        <v>1837</v>
      </c>
      <c r="P80" s="444"/>
    </row>
    <row r="81" spans="1:16" s="293" customFormat="1" ht="20.100000000000001" customHeight="1">
      <c r="A81" s="447">
        <v>76</v>
      </c>
      <c r="B81" s="440" t="s">
        <v>58</v>
      </c>
      <c r="C81" s="441" t="s">
        <v>59</v>
      </c>
      <c r="D81" s="442" t="s">
        <v>483</v>
      </c>
      <c r="E81" s="442" t="s">
        <v>426</v>
      </c>
      <c r="F81" s="443">
        <v>44744</v>
      </c>
      <c r="G81" s="445">
        <v>31</v>
      </c>
      <c r="H81" s="444">
        <v>2</v>
      </c>
      <c r="I81" s="444">
        <v>4</v>
      </c>
      <c r="J81" s="444">
        <v>2</v>
      </c>
      <c r="K81" s="444">
        <v>23</v>
      </c>
      <c r="L81" s="446"/>
      <c r="M81" s="446">
        <v>31</v>
      </c>
      <c r="N81" s="780"/>
      <c r="O81" s="442" t="s">
        <v>1837</v>
      </c>
      <c r="P81" s="444"/>
    </row>
    <row r="82" spans="1:16" s="293" customFormat="1" ht="20.100000000000001" customHeight="1">
      <c r="A82" s="447">
        <v>77</v>
      </c>
      <c r="B82" s="440" t="s">
        <v>163</v>
      </c>
      <c r="C82" s="441" t="s">
        <v>164</v>
      </c>
      <c r="D82" s="442" t="s">
        <v>479</v>
      </c>
      <c r="E82" s="442" t="s">
        <v>97</v>
      </c>
      <c r="F82" s="443">
        <v>44759</v>
      </c>
      <c r="G82" s="445">
        <v>31</v>
      </c>
      <c r="H82" s="444">
        <v>0</v>
      </c>
      <c r="I82" s="444">
        <v>4</v>
      </c>
      <c r="J82" s="444">
        <v>2</v>
      </c>
      <c r="K82" s="444">
        <v>25</v>
      </c>
      <c r="L82" s="446"/>
      <c r="M82" s="446">
        <v>31</v>
      </c>
      <c r="N82" s="780"/>
      <c r="O82" s="442" t="s">
        <v>1837</v>
      </c>
      <c r="P82" s="444"/>
    </row>
    <row r="83" spans="1:16" s="293" customFormat="1" ht="20.100000000000001" customHeight="1">
      <c r="A83" s="447">
        <v>78</v>
      </c>
      <c r="B83" s="440" t="s">
        <v>166</v>
      </c>
      <c r="C83" s="441" t="s">
        <v>167</v>
      </c>
      <c r="D83" s="442" t="s">
        <v>479</v>
      </c>
      <c r="E83" s="442" t="s">
        <v>97</v>
      </c>
      <c r="F83" s="443">
        <v>44762</v>
      </c>
      <c r="G83" s="445">
        <v>31</v>
      </c>
      <c r="H83" s="444">
        <v>2</v>
      </c>
      <c r="I83" s="444">
        <v>4</v>
      </c>
      <c r="J83" s="444">
        <v>2</v>
      </c>
      <c r="K83" s="444">
        <v>23</v>
      </c>
      <c r="L83" s="446"/>
      <c r="M83" s="446">
        <v>31</v>
      </c>
      <c r="N83" s="780"/>
      <c r="O83" s="442" t="s">
        <v>1837</v>
      </c>
      <c r="P83" s="444"/>
    </row>
    <row r="84" spans="1:16" s="293" customFormat="1" ht="20.100000000000001" customHeight="1">
      <c r="A84" s="447">
        <v>79</v>
      </c>
      <c r="B84" s="440" t="s">
        <v>345</v>
      </c>
      <c r="C84" s="441" t="s">
        <v>346</v>
      </c>
      <c r="D84" s="442" t="s">
        <v>423</v>
      </c>
      <c r="E84" s="442" t="s">
        <v>347</v>
      </c>
      <c r="F84" s="443">
        <v>44774</v>
      </c>
      <c r="G84" s="445">
        <v>31</v>
      </c>
      <c r="H84" s="444">
        <v>3</v>
      </c>
      <c r="I84" s="444">
        <v>4</v>
      </c>
      <c r="J84" s="444">
        <v>2</v>
      </c>
      <c r="K84" s="444">
        <v>22</v>
      </c>
      <c r="L84" s="446"/>
      <c r="M84" s="446">
        <v>31</v>
      </c>
      <c r="N84" s="780"/>
      <c r="O84" s="442" t="s">
        <v>1837</v>
      </c>
      <c r="P84" s="444"/>
    </row>
    <row r="85" spans="1:16" s="293" customFormat="1" ht="20.100000000000001" customHeight="1">
      <c r="A85" s="447">
        <v>80</v>
      </c>
      <c r="B85" s="440" t="s">
        <v>268</v>
      </c>
      <c r="C85" s="441" t="s">
        <v>269</v>
      </c>
      <c r="D85" s="442" t="s">
        <v>484</v>
      </c>
      <c r="E85" s="442" t="s">
        <v>1221</v>
      </c>
      <c r="F85" s="443">
        <v>44774</v>
      </c>
      <c r="G85" s="445">
        <v>31</v>
      </c>
      <c r="H85" s="444">
        <v>1</v>
      </c>
      <c r="I85" s="444">
        <v>4</v>
      </c>
      <c r="J85" s="444">
        <v>2</v>
      </c>
      <c r="K85" s="444">
        <v>24</v>
      </c>
      <c r="L85" s="446"/>
      <c r="M85" s="446">
        <v>31</v>
      </c>
      <c r="N85" s="780"/>
      <c r="O85" s="442" t="s">
        <v>1837</v>
      </c>
      <c r="P85" s="444"/>
    </row>
    <row r="86" spans="1:16" s="293" customFormat="1" ht="20.100000000000001" customHeight="1">
      <c r="A86" s="447">
        <v>81</v>
      </c>
      <c r="B86" s="440" t="s">
        <v>369</v>
      </c>
      <c r="C86" s="441" t="s">
        <v>882</v>
      </c>
      <c r="D86" s="442" t="s">
        <v>482</v>
      </c>
      <c r="E86" s="442" t="s">
        <v>1111</v>
      </c>
      <c r="F86" s="443">
        <v>44776</v>
      </c>
      <c r="G86" s="445">
        <v>31</v>
      </c>
      <c r="H86" s="444">
        <v>0</v>
      </c>
      <c r="I86" s="444">
        <v>4</v>
      </c>
      <c r="J86" s="444">
        <v>2</v>
      </c>
      <c r="K86" s="444">
        <v>25</v>
      </c>
      <c r="L86" s="446"/>
      <c r="M86" s="446">
        <v>31</v>
      </c>
      <c r="N86" s="780"/>
      <c r="O86" s="442" t="s">
        <v>1837</v>
      </c>
      <c r="P86" s="444"/>
    </row>
    <row r="87" spans="1:16" s="293" customFormat="1" ht="20.100000000000001" customHeight="1">
      <c r="A87" s="447">
        <v>82</v>
      </c>
      <c r="B87" s="440" t="s">
        <v>310</v>
      </c>
      <c r="C87" s="441" t="s">
        <v>311</v>
      </c>
      <c r="D87" s="442" t="s">
        <v>466</v>
      </c>
      <c r="E87" s="442" t="s">
        <v>137</v>
      </c>
      <c r="F87" s="443">
        <v>44782</v>
      </c>
      <c r="G87" s="445">
        <v>31</v>
      </c>
      <c r="H87" s="444">
        <v>0</v>
      </c>
      <c r="I87" s="444">
        <v>4</v>
      </c>
      <c r="J87" s="444">
        <v>2</v>
      </c>
      <c r="K87" s="444">
        <v>25</v>
      </c>
      <c r="L87" s="446"/>
      <c r="M87" s="446">
        <v>31</v>
      </c>
      <c r="N87" s="780"/>
      <c r="O87" s="442" t="s">
        <v>1837</v>
      </c>
      <c r="P87" s="444"/>
    </row>
    <row r="88" spans="1:16" s="293" customFormat="1" ht="20.100000000000001" customHeight="1">
      <c r="A88" s="447">
        <v>83</v>
      </c>
      <c r="B88" s="440" t="s">
        <v>314</v>
      </c>
      <c r="C88" s="441" t="s">
        <v>315</v>
      </c>
      <c r="D88" s="442" t="s">
        <v>466</v>
      </c>
      <c r="E88" s="442" t="s">
        <v>137</v>
      </c>
      <c r="F88" s="443">
        <v>44828</v>
      </c>
      <c r="G88" s="445">
        <v>31</v>
      </c>
      <c r="H88" s="444">
        <v>0</v>
      </c>
      <c r="I88" s="444">
        <v>4</v>
      </c>
      <c r="J88" s="444">
        <v>2</v>
      </c>
      <c r="K88" s="444">
        <v>25</v>
      </c>
      <c r="L88" s="446"/>
      <c r="M88" s="446">
        <v>31</v>
      </c>
      <c r="N88" s="780"/>
      <c r="O88" s="442" t="s">
        <v>1837</v>
      </c>
      <c r="P88" s="444"/>
    </row>
    <row r="89" spans="1:16" s="293" customFormat="1" ht="20.100000000000001" customHeight="1">
      <c r="A89" s="447">
        <v>84</v>
      </c>
      <c r="B89" s="440" t="s">
        <v>372</v>
      </c>
      <c r="C89" s="441" t="s">
        <v>373</v>
      </c>
      <c r="D89" s="442" t="s">
        <v>485</v>
      </c>
      <c r="E89" s="442" t="s">
        <v>1111</v>
      </c>
      <c r="F89" s="443">
        <v>44805</v>
      </c>
      <c r="G89" s="445">
        <v>31</v>
      </c>
      <c r="H89" s="444">
        <v>20</v>
      </c>
      <c r="I89" s="444">
        <v>4</v>
      </c>
      <c r="J89" s="444">
        <v>2</v>
      </c>
      <c r="K89" s="444">
        <v>5</v>
      </c>
      <c r="L89" s="446"/>
      <c r="M89" s="446">
        <v>31</v>
      </c>
      <c r="N89" s="780"/>
      <c r="O89" s="442" t="s">
        <v>1837</v>
      </c>
      <c r="P89" s="444"/>
    </row>
    <row r="90" spans="1:16" s="293" customFormat="1" ht="20.100000000000001" customHeight="1">
      <c r="A90" s="447">
        <v>85</v>
      </c>
      <c r="B90" s="440" t="s">
        <v>375</v>
      </c>
      <c r="C90" s="441" t="s">
        <v>376</v>
      </c>
      <c r="D90" s="442" t="s">
        <v>488</v>
      </c>
      <c r="E90" s="442" t="s">
        <v>1111</v>
      </c>
      <c r="F90" s="443">
        <v>44805</v>
      </c>
      <c r="G90" s="445">
        <v>31</v>
      </c>
      <c r="H90" s="444">
        <v>2</v>
      </c>
      <c r="I90" s="444">
        <v>4</v>
      </c>
      <c r="J90" s="444">
        <v>2</v>
      </c>
      <c r="K90" s="444">
        <v>23</v>
      </c>
      <c r="L90" s="446"/>
      <c r="M90" s="446">
        <v>31</v>
      </c>
      <c r="N90" s="780"/>
      <c r="O90" s="442" t="s">
        <v>1837</v>
      </c>
      <c r="P90" s="444"/>
    </row>
    <row r="91" spans="1:16" s="293" customFormat="1" ht="20.100000000000001" customHeight="1">
      <c r="A91" s="447">
        <v>86</v>
      </c>
      <c r="B91" s="440" t="s">
        <v>64</v>
      </c>
      <c r="C91" s="441" t="s">
        <v>486</v>
      </c>
      <c r="D91" s="442" t="s">
        <v>423</v>
      </c>
      <c r="E91" s="442" t="s">
        <v>426</v>
      </c>
      <c r="F91" s="443">
        <v>44815</v>
      </c>
      <c r="G91" s="445">
        <v>31</v>
      </c>
      <c r="H91" s="444">
        <v>3</v>
      </c>
      <c r="I91" s="444">
        <v>4</v>
      </c>
      <c r="J91" s="444">
        <v>2</v>
      </c>
      <c r="K91" s="444">
        <v>22</v>
      </c>
      <c r="L91" s="446"/>
      <c r="M91" s="446">
        <v>31</v>
      </c>
      <c r="N91" s="780"/>
      <c r="O91" s="442" t="s">
        <v>1837</v>
      </c>
      <c r="P91" s="444"/>
    </row>
    <row r="92" spans="1:16" s="293" customFormat="1" ht="20.100000000000001" customHeight="1">
      <c r="A92" s="447">
        <v>87</v>
      </c>
      <c r="B92" s="440" t="s">
        <v>169</v>
      </c>
      <c r="C92" s="441" t="s">
        <v>170</v>
      </c>
      <c r="D92" s="442" t="s">
        <v>436</v>
      </c>
      <c r="E92" s="442" t="s">
        <v>97</v>
      </c>
      <c r="F92" s="443">
        <v>44828</v>
      </c>
      <c r="G92" s="445">
        <v>31</v>
      </c>
      <c r="H92" s="444">
        <v>0</v>
      </c>
      <c r="I92" s="444">
        <v>4</v>
      </c>
      <c r="J92" s="444">
        <v>2</v>
      </c>
      <c r="K92" s="444">
        <v>25</v>
      </c>
      <c r="L92" s="446"/>
      <c r="M92" s="446">
        <v>31</v>
      </c>
      <c r="N92" s="780"/>
      <c r="O92" s="442" t="s">
        <v>1837</v>
      </c>
      <c r="P92" s="444"/>
    </row>
    <row r="93" spans="1:16" s="293" customFormat="1" ht="20.100000000000001" customHeight="1">
      <c r="A93" s="447">
        <v>88</v>
      </c>
      <c r="B93" s="440" t="s">
        <v>171</v>
      </c>
      <c r="C93" s="441" t="s">
        <v>172</v>
      </c>
      <c r="D93" s="442" t="s">
        <v>439</v>
      </c>
      <c r="E93" s="442" t="s">
        <v>97</v>
      </c>
      <c r="F93" s="443">
        <v>44817</v>
      </c>
      <c r="G93" s="445">
        <v>31</v>
      </c>
      <c r="H93" s="444">
        <v>1</v>
      </c>
      <c r="I93" s="444">
        <v>4</v>
      </c>
      <c r="J93" s="444">
        <v>2</v>
      </c>
      <c r="K93" s="444">
        <v>24</v>
      </c>
      <c r="L93" s="446"/>
      <c r="M93" s="446">
        <v>31</v>
      </c>
      <c r="N93" s="780"/>
      <c r="O93" s="442" t="s">
        <v>1837</v>
      </c>
      <c r="P93" s="444"/>
    </row>
    <row r="94" spans="1:16" s="293" customFormat="1" ht="20.100000000000001" customHeight="1">
      <c r="A94" s="447">
        <v>89</v>
      </c>
      <c r="B94" s="440" t="s">
        <v>174</v>
      </c>
      <c r="C94" s="441" t="s">
        <v>175</v>
      </c>
      <c r="D94" s="442" t="s">
        <v>439</v>
      </c>
      <c r="E94" s="442" t="s">
        <v>97</v>
      </c>
      <c r="F94" s="443">
        <v>44817</v>
      </c>
      <c r="G94" s="445">
        <v>31</v>
      </c>
      <c r="H94" s="444">
        <v>0</v>
      </c>
      <c r="I94" s="444">
        <v>4</v>
      </c>
      <c r="J94" s="444">
        <v>2</v>
      </c>
      <c r="K94" s="444">
        <v>24</v>
      </c>
      <c r="L94" s="446">
        <v>1</v>
      </c>
      <c r="M94" s="446">
        <v>30</v>
      </c>
      <c r="N94" s="780"/>
      <c r="O94" s="442" t="s">
        <v>1837</v>
      </c>
      <c r="P94" s="444"/>
    </row>
    <row r="95" spans="1:16" s="293" customFormat="1" ht="20.100000000000001" customHeight="1">
      <c r="A95" s="447">
        <v>90</v>
      </c>
      <c r="B95" s="440" t="s">
        <v>184</v>
      </c>
      <c r="C95" s="441" t="s">
        <v>185</v>
      </c>
      <c r="D95" s="442" t="s">
        <v>439</v>
      </c>
      <c r="E95" s="442" t="s">
        <v>97</v>
      </c>
      <c r="F95" s="443">
        <v>44819</v>
      </c>
      <c r="G95" s="445">
        <v>31</v>
      </c>
      <c r="H95" s="444">
        <v>0</v>
      </c>
      <c r="I95" s="444">
        <v>4</v>
      </c>
      <c r="J95" s="444">
        <v>2</v>
      </c>
      <c r="K95" s="444">
        <v>25</v>
      </c>
      <c r="L95" s="446"/>
      <c r="M95" s="446">
        <v>31</v>
      </c>
      <c r="N95" s="780"/>
      <c r="O95" s="442" t="s">
        <v>1837</v>
      </c>
      <c r="P95" s="444"/>
    </row>
    <row r="96" spans="1:16" s="293" customFormat="1" ht="20.100000000000001" customHeight="1">
      <c r="A96" s="447">
        <v>91</v>
      </c>
      <c r="B96" s="440" t="s">
        <v>179</v>
      </c>
      <c r="C96" s="441" t="s">
        <v>180</v>
      </c>
      <c r="D96" s="442" t="s">
        <v>435</v>
      </c>
      <c r="E96" s="442" t="s">
        <v>97</v>
      </c>
      <c r="F96" s="443">
        <v>44835</v>
      </c>
      <c r="G96" s="445">
        <v>31</v>
      </c>
      <c r="H96" s="444">
        <v>0</v>
      </c>
      <c r="I96" s="444">
        <v>4</v>
      </c>
      <c r="J96" s="444">
        <v>2</v>
      </c>
      <c r="K96" s="444">
        <v>25</v>
      </c>
      <c r="L96" s="446"/>
      <c r="M96" s="446">
        <v>31</v>
      </c>
      <c r="N96" s="780"/>
      <c r="O96" s="442" t="s">
        <v>1837</v>
      </c>
      <c r="P96" s="444"/>
    </row>
    <row r="97" spans="1:16" s="293" customFormat="1" ht="20.100000000000001" customHeight="1">
      <c r="A97" s="447">
        <v>92</v>
      </c>
      <c r="B97" s="440" t="s">
        <v>317</v>
      </c>
      <c r="C97" s="441" t="s">
        <v>318</v>
      </c>
      <c r="D97" s="442" t="s">
        <v>466</v>
      </c>
      <c r="E97" s="442" t="s">
        <v>137</v>
      </c>
      <c r="F97" s="443">
        <v>44866</v>
      </c>
      <c r="G97" s="445">
        <v>31</v>
      </c>
      <c r="H97" s="444">
        <v>0</v>
      </c>
      <c r="I97" s="444">
        <v>4</v>
      </c>
      <c r="J97" s="444">
        <v>2</v>
      </c>
      <c r="K97" s="444">
        <v>25</v>
      </c>
      <c r="L97" s="446"/>
      <c r="M97" s="446">
        <v>31</v>
      </c>
      <c r="N97" s="780"/>
      <c r="O97" s="442" t="s">
        <v>1837</v>
      </c>
      <c r="P97" s="444"/>
    </row>
    <row r="98" spans="1:16" s="293" customFormat="1" ht="20.100000000000001" customHeight="1">
      <c r="A98" s="447">
        <v>93</v>
      </c>
      <c r="B98" s="440" t="s">
        <v>270</v>
      </c>
      <c r="C98" s="441" t="s">
        <v>271</v>
      </c>
      <c r="D98" s="442" t="s">
        <v>489</v>
      </c>
      <c r="E98" s="442" t="s">
        <v>203</v>
      </c>
      <c r="F98" s="443">
        <v>44849</v>
      </c>
      <c r="G98" s="445">
        <v>31</v>
      </c>
      <c r="H98" s="444">
        <v>2</v>
      </c>
      <c r="I98" s="444">
        <v>4</v>
      </c>
      <c r="J98" s="444">
        <v>2</v>
      </c>
      <c r="K98" s="444">
        <v>23</v>
      </c>
      <c r="L98" s="446"/>
      <c r="M98" s="446">
        <v>31</v>
      </c>
      <c r="N98" s="780"/>
      <c r="O98" s="442" t="s">
        <v>1837</v>
      </c>
      <c r="P98" s="444"/>
    </row>
    <row r="99" spans="1:16" s="293" customFormat="1" ht="20.100000000000001" customHeight="1">
      <c r="A99" s="447">
        <v>94</v>
      </c>
      <c r="B99" s="440" t="s">
        <v>273</v>
      </c>
      <c r="C99" s="441" t="s">
        <v>274</v>
      </c>
      <c r="D99" s="442" t="s">
        <v>478</v>
      </c>
      <c r="E99" s="442" t="s">
        <v>203</v>
      </c>
      <c r="F99" s="443">
        <v>44849</v>
      </c>
      <c r="G99" s="445">
        <v>31</v>
      </c>
      <c r="H99" s="444">
        <v>0</v>
      </c>
      <c r="I99" s="444">
        <v>4</v>
      </c>
      <c r="J99" s="444">
        <v>2</v>
      </c>
      <c r="K99" s="444">
        <v>25</v>
      </c>
      <c r="L99" s="446"/>
      <c r="M99" s="446">
        <v>31</v>
      </c>
      <c r="N99" s="780"/>
      <c r="O99" s="442" t="s">
        <v>1837</v>
      </c>
      <c r="P99" s="444"/>
    </row>
    <row r="100" spans="1:16" s="293" customFormat="1" ht="20.100000000000001" customHeight="1">
      <c r="A100" s="447">
        <v>95</v>
      </c>
      <c r="B100" s="440" t="s">
        <v>377</v>
      </c>
      <c r="C100" s="441" t="s">
        <v>378</v>
      </c>
      <c r="D100" s="442" t="s">
        <v>460</v>
      </c>
      <c r="E100" s="442" t="s">
        <v>1111</v>
      </c>
      <c r="F100" s="443">
        <v>44849</v>
      </c>
      <c r="G100" s="445">
        <v>31</v>
      </c>
      <c r="H100" s="444">
        <v>0</v>
      </c>
      <c r="I100" s="444">
        <v>4</v>
      </c>
      <c r="J100" s="444">
        <v>2</v>
      </c>
      <c r="K100" s="444">
        <v>25</v>
      </c>
      <c r="L100" s="446"/>
      <c r="M100" s="446">
        <v>31</v>
      </c>
      <c r="N100" s="780"/>
      <c r="O100" s="442" t="s">
        <v>1837</v>
      </c>
      <c r="P100" s="444"/>
    </row>
    <row r="101" spans="1:16" s="293" customFormat="1" ht="20.100000000000001" customHeight="1">
      <c r="A101" s="447">
        <v>96</v>
      </c>
      <c r="B101" s="440" t="s">
        <v>81</v>
      </c>
      <c r="C101" s="441" t="s">
        <v>82</v>
      </c>
      <c r="D101" s="442" t="s">
        <v>490</v>
      </c>
      <c r="E101" s="442" t="s">
        <v>74</v>
      </c>
      <c r="F101" s="443">
        <v>44849</v>
      </c>
      <c r="G101" s="445">
        <v>31</v>
      </c>
      <c r="H101" s="444">
        <v>2</v>
      </c>
      <c r="I101" s="444">
        <v>4</v>
      </c>
      <c r="J101" s="444">
        <v>2</v>
      </c>
      <c r="K101" s="444">
        <v>23</v>
      </c>
      <c r="L101" s="446"/>
      <c r="M101" s="446">
        <v>31</v>
      </c>
      <c r="N101" s="780"/>
      <c r="O101" s="442" t="s">
        <v>1837</v>
      </c>
      <c r="P101" s="444"/>
    </row>
    <row r="102" spans="1:16" s="293" customFormat="1" ht="20.100000000000001" customHeight="1">
      <c r="A102" s="447">
        <v>97</v>
      </c>
      <c r="B102" s="440" t="s">
        <v>181</v>
      </c>
      <c r="C102" s="441" t="s">
        <v>182</v>
      </c>
      <c r="D102" s="442" t="s">
        <v>439</v>
      </c>
      <c r="E102" s="442" t="s">
        <v>97</v>
      </c>
      <c r="F102" s="443">
        <v>44849</v>
      </c>
      <c r="G102" s="445">
        <v>31</v>
      </c>
      <c r="H102" s="444">
        <v>2</v>
      </c>
      <c r="I102" s="444">
        <v>4</v>
      </c>
      <c r="J102" s="444">
        <v>2</v>
      </c>
      <c r="K102" s="444">
        <v>23</v>
      </c>
      <c r="L102" s="446"/>
      <c r="M102" s="446">
        <v>31</v>
      </c>
      <c r="N102" s="780"/>
      <c r="O102" s="442" t="s">
        <v>1837</v>
      </c>
      <c r="P102" s="444"/>
    </row>
    <row r="103" spans="1:16" s="293" customFormat="1" ht="20.100000000000001" customHeight="1">
      <c r="A103" s="447">
        <v>98</v>
      </c>
      <c r="B103" s="440" t="s">
        <v>349</v>
      </c>
      <c r="C103" s="441" t="s">
        <v>350</v>
      </c>
      <c r="D103" s="442" t="s">
        <v>460</v>
      </c>
      <c r="E103" s="442" t="s">
        <v>347</v>
      </c>
      <c r="F103" s="443">
        <v>44866</v>
      </c>
      <c r="G103" s="445">
        <v>31</v>
      </c>
      <c r="H103" s="444">
        <v>0</v>
      </c>
      <c r="I103" s="444">
        <v>4</v>
      </c>
      <c r="J103" s="444">
        <v>2</v>
      </c>
      <c r="K103" s="444">
        <v>25</v>
      </c>
      <c r="L103" s="446"/>
      <c r="M103" s="446">
        <v>31</v>
      </c>
      <c r="N103" s="780"/>
      <c r="O103" s="442" t="s">
        <v>1837</v>
      </c>
      <c r="P103" s="444"/>
    </row>
    <row r="104" spans="1:16" s="293" customFormat="1" ht="20.100000000000001" customHeight="1">
      <c r="A104" s="447">
        <v>99</v>
      </c>
      <c r="B104" s="440" t="s">
        <v>384</v>
      </c>
      <c r="C104" s="441" t="s">
        <v>385</v>
      </c>
      <c r="D104" s="442" t="s">
        <v>386</v>
      </c>
      <c r="E104" s="442" t="s">
        <v>426</v>
      </c>
      <c r="F104" s="443">
        <v>44854</v>
      </c>
      <c r="G104" s="445">
        <v>31</v>
      </c>
      <c r="H104" s="444">
        <v>0</v>
      </c>
      <c r="I104" s="444">
        <v>4</v>
      </c>
      <c r="J104" s="444">
        <v>2</v>
      </c>
      <c r="K104" s="444">
        <v>25</v>
      </c>
      <c r="L104" s="446"/>
      <c r="M104" s="446">
        <v>31</v>
      </c>
      <c r="N104" s="780"/>
      <c r="O104" s="442" t="s">
        <v>1837</v>
      </c>
      <c r="P104" s="444"/>
    </row>
    <row r="105" spans="1:16" s="293" customFormat="1" ht="20.100000000000001" customHeight="1">
      <c r="A105" s="447">
        <v>100</v>
      </c>
      <c r="B105" s="440" t="s">
        <v>276</v>
      </c>
      <c r="C105" s="441" t="s">
        <v>277</v>
      </c>
      <c r="D105" s="442" t="s">
        <v>1665</v>
      </c>
      <c r="E105" s="442" t="s">
        <v>203</v>
      </c>
      <c r="F105" s="443">
        <v>44867</v>
      </c>
      <c r="G105" s="445">
        <v>31</v>
      </c>
      <c r="H105" s="444">
        <v>0</v>
      </c>
      <c r="I105" s="444">
        <v>4</v>
      </c>
      <c r="J105" s="444">
        <v>2</v>
      </c>
      <c r="K105" s="444">
        <v>25</v>
      </c>
      <c r="L105" s="446"/>
      <c r="M105" s="446">
        <v>31</v>
      </c>
      <c r="N105" s="780"/>
      <c r="O105" s="442" t="s">
        <v>1837</v>
      </c>
      <c r="P105" s="444"/>
    </row>
    <row r="106" spans="1:16" s="293" customFormat="1" ht="20.100000000000001" customHeight="1">
      <c r="A106" s="447">
        <v>101</v>
      </c>
      <c r="B106" s="440" t="s">
        <v>302</v>
      </c>
      <c r="C106" s="441" t="s">
        <v>303</v>
      </c>
      <c r="D106" s="442" t="s">
        <v>493</v>
      </c>
      <c r="E106" s="442" t="s">
        <v>292</v>
      </c>
      <c r="F106" s="443">
        <v>40238</v>
      </c>
      <c r="G106" s="445">
        <v>31</v>
      </c>
      <c r="H106" s="444">
        <v>0</v>
      </c>
      <c r="I106" s="444">
        <v>4</v>
      </c>
      <c r="J106" s="444">
        <v>2</v>
      </c>
      <c r="K106" s="444">
        <v>25</v>
      </c>
      <c r="L106" s="446"/>
      <c r="M106" s="446">
        <v>31</v>
      </c>
      <c r="N106" s="780"/>
      <c r="O106" s="442" t="s">
        <v>1837</v>
      </c>
      <c r="P106" s="444"/>
    </row>
    <row r="107" spans="1:16" s="293" customFormat="1" ht="20.100000000000001" customHeight="1">
      <c r="A107" s="447">
        <v>102</v>
      </c>
      <c r="B107" s="440" t="s">
        <v>352</v>
      </c>
      <c r="C107" s="441" t="s">
        <v>353</v>
      </c>
      <c r="D107" s="442" t="s">
        <v>447</v>
      </c>
      <c r="E107" s="442" t="s">
        <v>347</v>
      </c>
      <c r="F107" s="443">
        <v>44866</v>
      </c>
      <c r="G107" s="445">
        <v>31</v>
      </c>
      <c r="H107" s="444">
        <v>1</v>
      </c>
      <c r="I107" s="444">
        <v>4</v>
      </c>
      <c r="J107" s="444">
        <v>2</v>
      </c>
      <c r="K107" s="444">
        <v>24</v>
      </c>
      <c r="L107" s="446"/>
      <c r="M107" s="446">
        <v>31</v>
      </c>
      <c r="N107" s="780"/>
      <c r="O107" s="442" t="s">
        <v>1837</v>
      </c>
      <c r="P107" s="444"/>
    </row>
    <row r="108" spans="1:16" s="293" customFormat="1" ht="20.100000000000001" customHeight="1">
      <c r="A108" s="447">
        <v>103</v>
      </c>
      <c r="B108" s="440" t="s">
        <v>87</v>
      </c>
      <c r="C108" s="441" t="s">
        <v>88</v>
      </c>
      <c r="D108" s="442" t="s">
        <v>463</v>
      </c>
      <c r="E108" s="442" t="s">
        <v>74</v>
      </c>
      <c r="F108" s="443">
        <v>44870</v>
      </c>
      <c r="G108" s="445">
        <v>31</v>
      </c>
      <c r="H108" s="444">
        <v>0</v>
      </c>
      <c r="I108" s="444">
        <v>4</v>
      </c>
      <c r="J108" s="444">
        <v>2</v>
      </c>
      <c r="K108" s="444">
        <v>25</v>
      </c>
      <c r="L108" s="446"/>
      <c r="M108" s="446">
        <v>31</v>
      </c>
      <c r="N108" s="780"/>
      <c r="O108" s="442" t="s">
        <v>1837</v>
      </c>
      <c r="P108" s="444"/>
    </row>
    <row r="109" spans="1:16" s="293" customFormat="1" ht="20.100000000000001" customHeight="1">
      <c r="A109" s="447">
        <v>104</v>
      </c>
      <c r="B109" s="440" t="s">
        <v>279</v>
      </c>
      <c r="C109" s="441" t="s">
        <v>280</v>
      </c>
      <c r="D109" s="442" t="s">
        <v>489</v>
      </c>
      <c r="E109" s="442" t="s">
        <v>203</v>
      </c>
      <c r="F109" s="443">
        <v>44874</v>
      </c>
      <c r="G109" s="445">
        <v>31</v>
      </c>
      <c r="H109" s="444">
        <v>0</v>
      </c>
      <c r="I109" s="444">
        <v>4</v>
      </c>
      <c r="J109" s="444">
        <v>2</v>
      </c>
      <c r="K109" s="444">
        <v>25</v>
      </c>
      <c r="L109" s="446"/>
      <c r="M109" s="446">
        <v>31</v>
      </c>
      <c r="N109" s="780"/>
      <c r="O109" s="442" t="s">
        <v>1837</v>
      </c>
      <c r="P109" s="444"/>
    </row>
    <row r="110" spans="1:16" s="293" customFormat="1" ht="20.100000000000001" customHeight="1">
      <c r="A110" s="447">
        <v>105</v>
      </c>
      <c r="B110" s="440" t="s">
        <v>187</v>
      </c>
      <c r="C110" s="441" t="s">
        <v>188</v>
      </c>
      <c r="D110" s="442" t="s">
        <v>435</v>
      </c>
      <c r="E110" s="442" t="s">
        <v>97</v>
      </c>
      <c r="F110" s="443">
        <v>44875</v>
      </c>
      <c r="G110" s="445">
        <v>31</v>
      </c>
      <c r="H110" s="444">
        <v>2</v>
      </c>
      <c r="I110" s="444">
        <v>4</v>
      </c>
      <c r="J110" s="444">
        <v>2</v>
      </c>
      <c r="K110" s="444">
        <v>23</v>
      </c>
      <c r="L110" s="446"/>
      <c r="M110" s="446">
        <v>31</v>
      </c>
      <c r="N110" s="780"/>
      <c r="O110" s="442" t="s">
        <v>1837</v>
      </c>
      <c r="P110" s="444"/>
    </row>
    <row r="111" spans="1:16" s="293" customFormat="1" ht="20.100000000000001" customHeight="1">
      <c r="A111" s="447">
        <v>106</v>
      </c>
      <c r="B111" s="440" t="s">
        <v>284</v>
      </c>
      <c r="C111" s="441" t="s">
        <v>285</v>
      </c>
      <c r="D111" s="442" t="s">
        <v>433</v>
      </c>
      <c r="E111" s="442" t="s">
        <v>203</v>
      </c>
      <c r="F111" s="443">
        <v>44880</v>
      </c>
      <c r="G111" s="445">
        <v>31</v>
      </c>
      <c r="H111" s="444">
        <v>0</v>
      </c>
      <c r="I111" s="444">
        <v>4</v>
      </c>
      <c r="J111" s="444">
        <v>2</v>
      </c>
      <c r="K111" s="444">
        <v>23</v>
      </c>
      <c r="L111" s="446">
        <v>2</v>
      </c>
      <c r="M111" s="446">
        <v>29</v>
      </c>
      <c r="N111" s="780"/>
      <c r="O111" s="442" t="s">
        <v>1837</v>
      </c>
      <c r="P111" s="444"/>
    </row>
    <row r="112" spans="1:16" s="293" customFormat="1" ht="20.100000000000001" customHeight="1">
      <c r="A112" s="447">
        <v>107</v>
      </c>
      <c r="B112" s="440" t="s">
        <v>287</v>
      </c>
      <c r="C112" s="441" t="s">
        <v>288</v>
      </c>
      <c r="D112" s="442" t="s">
        <v>433</v>
      </c>
      <c r="E112" s="442" t="s">
        <v>203</v>
      </c>
      <c r="F112" s="443">
        <v>44880</v>
      </c>
      <c r="G112" s="445">
        <v>31</v>
      </c>
      <c r="H112" s="444">
        <v>0</v>
      </c>
      <c r="I112" s="444">
        <v>4</v>
      </c>
      <c r="J112" s="444">
        <v>2</v>
      </c>
      <c r="K112" s="444">
        <v>25</v>
      </c>
      <c r="L112" s="446"/>
      <c r="M112" s="446">
        <v>31</v>
      </c>
      <c r="N112" s="780"/>
      <c r="O112" s="442" t="s">
        <v>1837</v>
      </c>
      <c r="P112" s="444"/>
    </row>
    <row r="113" spans="1:16" s="293" customFormat="1" ht="20.100000000000001" customHeight="1">
      <c r="A113" s="447">
        <v>108</v>
      </c>
      <c r="B113" s="440" t="s">
        <v>190</v>
      </c>
      <c r="C113" s="441" t="s">
        <v>498</v>
      </c>
      <c r="D113" s="442" t="s">
        <v>435</v>
      </c>
      <c r="E113" s="442" t="s">
        <v>97</v>
      </c>
      <c r="F113" s="443">
        <v>44882</v>
      </c>
      <c r="G113" s="445">
        <v>31</v>
      </c>
      <c r="H113" s="444">
        <v>0</v>
      </c>
      <c r="I113" s="444">
        <v>4</v>
      </c>
      <c r="J113" s="444">
        <v>2</v>
      </c>
      <c r="K113" s="444">
        <v>25</v>
      </c>
      <c r="L113" s="446"/>
      <c r="M113" s="446">
        <v>31</v>
      </c>
      <c r="N113" s="780"/>
      <c r="O113" s="442" t="s">
        <v>1837</v>
      </c>
      <c r="P113" s="444"/>
    </row>
    <row r="114" spans="1:16" s="293" customFormat="1" ht="20.100000000000001" customHeight="1">
      <c r="A114" s="447">
        <v>109</v>
      </c>
      <c r="B114" s="440" t="s">
        <v>197</v>
      </c>
      <c r="C114" s="441" t="s">
        <v>198</v>
      </c>
      <c r="D114" s="442" t="s">
        <v>473</v>
      </c>
      <c r="E114" s="442" t="s">
        <v>97</v>
      </c>
      <c r="F114" s="443">
        <v>44886</v>
      </c>
      <c r="G114" s="445">
        <v>31</v>
      </c>
      <c r="H114" s="444">
        <v>0</v>
      </c>
      <c r="I114" s="444">
        <v>4</v>
      </c>
      <c r="J114" s="444">
        <v>2</v>
      </c>
      <c r="K114" s="444">
        <v>25</v>
      </c>
      <c r="L114" s="446"/>
      <c r="M114" s="446">
        <v>31</v>
      </c>
      <c r="N114" s="780"/>
      <c r="O114" s="442" t="s">
        <v>1837</v>
      </c>
      <c r="P114" s="444"/>
    </row>
    <row r="115" spans="1:16" s="293" customFormat="1" ht="20.100000000000001" customHeight="1">
      <c r="A115" s="447">
        <v>110</v>
      </c>
      <c r="B115" s="440" t="s">
        <v>354</v>
      </c>
      <c r="C115" s="441" t="s">
        <v>355</v>
      </c>
      <c r="D115" s="442" t="s">
        <v>460</v>
      </c>
      <c r="E115" s="442" t="s">
        <v>356</v>
      </c>
      <c r="F115" s="443">
        <v>44915</v>
      </c>
      <c r="G115" s="445">
        <v>31</v>
      </c>
      <c r="H115" s="444">
        <v>0</v>
      </c>
      <c r="I115" s="444">
        <v>4</v>
      </c>
      <c r="J115" s="444">
        <v>2</v>
      </c>
      <c r="K115" s="444">
        <v>25</v>
      </c>
      <c r="L115" s="446"/>
      <c r="M115" s="446">
        <v>31</v>
      </c>
      <c r="N115" s="780"/>
      <c r="O115" s="442" t="s">
        <v>1837</v>
      </c>
      <c r="P115" s="444"/>
    </row>
    <row r="116" spans="1:16" s="293" customFormat="1" ht="20.100000000000001" customHeight="1">
      <c r="A116" s="447">
        <v>111</v>
      </c>
      <c r="B116" s="440" t="s">
        <v>514</v>
      </c>
      <c r="C116" s="441" t="s">
        <v>515</v>
      </c>
      <c r="D116" s="442" t="s">
        <v>516</v>
      </c>
      <c r="E116" s="442" t="s">
        <v>517</v>
      </c>
      <c r="F116" s="443">
        <v>44927</v>
      </c>
      <c r="G116" s="445">
        <v>31</v>
      </c>
      <c r="H116" s="444">
        <v>0</v>
      </c>
      <c r="I116" s="444">
        <v>4</v>
      </c>
      <c r="J116" s="444">
        <v>2</v>
      </c>
      <c r="K116" s="444">
        <v>25</v>
      </c>
      <c r="L116" s="446"/>
      <c r="M116" s="446">
        <v>31</v>
      </c>
      <c r="N116" s="780"/>
      <c r="O116" s="442" t="s">
        <v>1837</v>
      </c>
      <c r="P116" s="444"/>
    </row>
    <row r="117" spans="1:16" s="293" customFormat="1" ht="20.100000000000001" customHeight="1">
      <c r="A117" s="447">
        <v>112</v>
      </c>
      <c r="B117" s="440" t="s">
        <v>518</v>
      </c>
      <c r="C117" s="441" t="s">
        <v>519</v>
      </c>
      <c r="D117" s="442" t="s">
        <v>460</v>
      </c>
      <c r="E117" s="442" t="s">
        <v>356</v>
      </c>
      <c r="F117" s="443">
        <v>44941</v>
      </c>
      <c r="G117" s="445">
        <v>31</v>
      </c>
      <c r="H117" s="444">
        <v>0</v>
      </c>
      <c r="I117" s="444">
        <v>4</v>
      </c>
      <c r="J117" s="444">
        <v>2</v>
      </c>
      <c r="K117" s="444">
        <v>25</v>
      </c>
      <c r="L117" s="446"/>
      <c r="M117" s="446">
        <v>31</v>
      </c>
      <c r="N117" s="780"/>
      <c r="O117" s="442" t="s">
        <v>1837</v>
      </c>
      <c r="P117" s="444"/>
    </row>
    <row r="118" spans="1:16" s="293" customFormat="1" ht="20.100000000000001" customHeight="1">
      <c r="A118" s="447">
        <v>113</v>
      </c>
      <c r="B118" s="440" t="s">
        <v>520</v>
      </c>
      <c r="C118" s="441" t="s">
        <v>521</v>
      </c>
      <c r="D118" s="442" t="s">
        <v>522</v>
      </c>
      <c r="E118" s="442" t="s">
        <v>517</v>
      </c>
      <c r="F118" s="443">
        <v>44947</v>
      </c>
      <c r="G118" s="445">
        <v>31</v>
      </c>
      <c r="H118" s="444">
        <v>0</v>
      </c>
      <c r="I118" s="444">
        <v>4</v>
      </c>
      <c r="J118" s="444">
        <v>2</v>
      </c>
      <c r="K118" s="444">
        <v>25</v>
      </c>
      <c r="L118" s="446"/>
      <c r="M118" s="446">
        <v>31</v>
      </c>
      <c r="N118" s="780"/>
      <c r="O118" s="442" t="s">
        <v>1837</v>
      </c>
      <c r="P118" s="444"/>
    </row>
    <row r="119" spans="1:16" s="293" customFormat="1" ht="20.100000000000001" customHeight="1">
      <c r="A119" s="447">
        <v>114</v>
      </c>
      <c r="B119" s="440" t="s">
        <v>523</v>
      </c>
      <c r="C119" s="441" t="s">
        <v>524</v>
      </c>
      <c r="D119" s="442" t="s">
        <v>488</v>
      </c>
      <c r="E119" s="442" t="s">
        <v>705</v>
      </c>
      <c r="F119" s="443">
        <v>44942</v>
      </c>
      <c r="G119" s="445">
        <v>31</v>
      </c>
      <c r="H119" s="444">
        <v>0</v>
      </c>
      <c r="I119" s="444">
        <v>4</v>
      </c>
      <c r="J119" s="444">
        <v>2</v>
      </c>
      <c r="K119" s="444">
        <v>25</v>
      </c>
      <c r="L119" s="446"/>
      <c r="M119" s="446">
        <v>31</v>
      </c>
      <c r="N119" s="780"/>
      <c r="O119" s="442" t="s">
        <v>1837</v>
      </c>
      <c r="P119" s="444"/>
    </row>
    <row r="120" spans="1:16" s="293" customFormat="1" ht="20.100000000000001" customHeight="1">
      <c r="A120" s="447">
        <v>115</v>
      </c>
      <c r="B120" s="440" t="s">
        <v>1174</v>
      </c>
      <c r="C120" s="441" t="s">
        <v>1175</v>
      </c>
      <c r="D120" s="442" t="s">
        <v>1176</v>
      </c>
      <c r="E120" s="442" t="s">
        <v>70</v>
      </c>
      <c r="F120" s="443">
        <v>45323</v>
      </c>
      <c r="G120" s="445">
        <v>31</v>
      </c>
      <c r="H120" s="444">
        <v>1</v>
      </c>
      <c r="I120" s="444">
        <v>4</v>
      </c>
      <c r="J120" s="444">
        <v>2</v>
      </c>
      <c r="K120" s="444">
        <v>1</v>
      </c>
      <c r="L120" s="446">
        <v>23</v>
      </c>
      <c r="M120" s="446">
        <v>8</v>
      </c>
      <c r="N120" s="780"/>
      <c r="O120" s="442" t="s">
        <v>1837</v>
      </c>
      <c r="P120" s="444"/>
    </row>
    <row r="121" spans="1:16" s="293" customFormat="1" ht="20.100000000000001" customHeight="1">
      <c r="A121" s="447">
        <v>116</v>
      </c>
      <c r="B121" s="440" t="s">
        <v>525</v>
      </c>
      <c r="C121" s="441" t="s">
        <v>526</v>
      </c>
      <c r="D121" s="442" t="s">
        <v>439</v>
      </c>
      <c r="E121" s="442" t="s">
        <v>97</v>
      </c>
      <c r="F121" s="443">
        <v>44945</v>
      </c>
      <c r="G121" s="445">
        <v>31</v>
      </c>
      <c r="H121" s="444">
        <v>0</v>
      </c>
      <c r="I121" s="444">
        <v>4</v>
      </c>
      <c r="J121" s="444">
        <v>2</v>
      </c>
      <c r="K121" s="444">
        <v>25</v>
      </c>
      <c r="L121" s="446"/>
      <c r="M121" s="446">
        <v>31</v>
      </c>
      <c r="N121" s="780"/>
      <c r="O121" s="442" t="s">
        <v>1837</v>
      </c>
      <c r="P121" s="444"/>
    </row>
    <row r="122" spans="1:16" s="293" customFormat="1" ht="20.100000000000001" customHeight="1">
      <c r="A122" s="447">
        <v>117</v>
      </c>
      <c r="B122" s="440" t="s">
        <v>527</v>
      </c>
      <c r="C122" s="441" t="s">
        <v>528</v>
      </c>
      <c r="D122" s="442" t="s">
        <v>435</v>
      </c>
      <c r="E122" s="442" t="s">
        <v>97</v>
      </c>
      <c r="F122" s="443">
        <v>44949</v>
      </c>
      <c r="G122" s="445">
        <v>31</v>
      </c>
      <c r="H122" s="444">
        <v>1</v>
      </c>
      <c r="I122" s="444">
        <v>4</v>
      </c>
      <c r="J122" s="444">
        <v>2</v>
      </c>
      <c r="K122" s="444">
        <v>24</v>
      </c>
      <c r="L122" s="446"/>
      <c r="M122" s="446">
        <v>31</v>
      </c>
      <c r="N122" s="780"/>
      <c r="O122" s="442" t="s">
        <v>1837</v>
      </c>
      <c r="P122" s="444"/>
    </row>
    <row r="123" spans="1:16" s="293" customFormat="1" ht="20.100000000000001" customHeight="1">
      <c r="A123" s="447">
        <v>118</v>
      </c>
      <c r="B123" s="440" t="s">
        <v>543</v>
      </c>
      <c r="C123" s="441" t="s">
        <v>544</v>
      </c>
      <c r="D123" s="442" t="s">
        <v>545</v>
      </c>
      <c r="E123" s="442" t="s">
        <v>203</v>
      </c>
      <c r="F123" s="443">
        <v>44958</v>
      </c>
      <c r="G123" s="445">
        <v>31</v>
      </c>
      <c r="H123" s="444">
        <v>0</v>
      </c>
      <c r="I123" s="444">
        <v>4</v>
      </c>
      <c r="J123" s="444">
        <v>2</v>
      </c>
      <c r="K123" s="444">
        <v>25</v>
      </c>
      <c r="L123" s="446"/>
      <c r="M123" s="446">
        <v>31</v>
      </c>
      <c r="N123" s="780"/>
      <c r="O123" s="442" t="s">
        <v>1837</v>
      </c>
      <c r="P123" s="444"/>
    </row>
    <row r="124" spans="1:16" s="293" customFormat="1" ht="20.100000000000001" customHeight="1">
      <c r="A124" s="447">
        <v>119</v>
      </c>
      <c r="B124" s="440" t="s">
        <v>548</v>
      </c>
      <c r="C124" s="441" t="s">
        <v>549</v>
      </c>
      <c r="D124" s="442" t="s">
        <v>435</v>
      </c>
      <c r="E124" s="442" t="s">
        <v>97</v>
      </c>
      <c r="F124" s="443">
        <v>44966</v>
      </c>
      <c r="G124" s="445">
        <v>31</v>
      </c>
      <c r="H124" s="444">
        <v>0</v>
      </c>
      <c r="I124" s="444">
        <v>4</v>
      </c>
      <c r="J124" s="444">
        <v>2</v>
      </c>
      <c r="K124" s="444">
        <v>25</v>
      </c>
      <c r="L124" s="446"/>
      <c r="M124" s="446">
        <v>31</v>
      </c>
      <c r="N124" s="780"/>
      <c r="O124" s="442" t="s">
        <v>1837</v>
      </c>
      <c r="P124" s="444"/>
    </row>
    <row r="125" spans="1:16" s="293" customFormat="1" ht="20.100000000000001" customHeight="1">
      <c r="A125" s="447">
        <v>120</v>
      </c>
      <c r="B125" s="440" t="s">
        <v>550</v>
      </c>
      <c r="C125" s="441" t="s">
        <v>551</v>
      </c>
      <c r="D125" s="442" t="s">
        <v>552</v>
      </c>
      <c r="E125" s="442" t="s">
        <v>203</v>
      </c>
      <c r="F125" s="443">
        <v>44964</v>
      </c>
      <c r="G125" s="445">
        <v>31</v>
      </c>
      <c r="H125" s="444">
        <v>0</v>
      </c>
      <c r="I125" s="444">
        <v>4</v>
      </c>
      <c r="J125" s="444">
        <v>2</v>
      </c>
      <c r="K125" s="444">
        <v>25</v>
      </c>
      <c r="L125" s="446"/>
      <c r="M125" s="446">
        <v>31</v>
      </c>
      <c r="N125" s="780"/>
      <c r="O125" s="442" t="s">
        <v>1837</v>
      </c>
      <c r="P125" s="444"/>
    </row>
    <row r="126" spans="1:16" s="293" customFormat="1" ht="20.100000000000001" customHeight="1">
      <c r="A126" s="447">
        <v>121</v>
      </c>
      <c r="B126" s="440" t="s">
        <v>553</v>
      </c>
      <c r="C126" s="441" t="s">
        <v>554</v>
      </c>
      <c r="D126" s="442" t="s">
        <v>555</v>
      </c>
      <c r="E126" s="442" t="s">
        <v>203</v>
      </c>
      <c r="F126" s="443">
        <v>44964</v>
      </c>
      <c r="G126" s="445">
        <v>31</v>
      </c>
      <c r="H126" s="444">
        <v>0</v>
      </c>
      <c r="I126" s="444">
        <v>4</v>
      </c>
      <c r="J126" s="444">
        <v>2</v>
      </c>
      <c r="K126" s="444">
        <v>25</v>
      </c>
      <c r="L126" s="446"/>
      <c r="M126" s="446">
        <v>31</v>
      </c>
      <c r="N126" s="780"/>
      <c r="O126" s="442" t="s">
        <v>1837</v>
      </c>
      <c r="P126" s="444"/>
    </row>
    <row r="127" spans="1:16" s="293" customFormat="1" ht="20.100000000000001" customHeight="1">
      <c r="A127" s="447">
        <v>122</v>
      </c>
      <c r="B127" s="440" t="s">
        <v>556</v>
      </c>
      <c r="C127" s="441" t="s">
        <v>557</v>
      </c>
      <c r="D127" s="442" t="s">
        <v>445</v>
      </c>
      <c r="E127" s="442" t="s">
        <v>203</v>
      </c>
      <c r="F127" s="443">
        <v>44965</v>
      </c>
      <c r="G127" s="445">
        <v>31</v>
      </c>
      <c r="H127" s="444">
        <v>0</v>
      </c>
      <c r="I127" s="444">
        <v>4</v>
      </c>
      <c r="J127" s="444">
        <v>2</v>
      </c>
      <c r="K127" s="444">
        <v>25</v>
      </c>
      <c r="L127" s="446"/>
      <c r="M127" s="446">
        <v>31</v>
      </c>
      <c r="N127" s="780"/>
      <c r="O127" s="442" t="s">
        <v>1837</v>
      </c>
      <c r="P127" s="444"/>
    </row>
    <row r="128" spans="1:16" s="293" customFormat="1" ht="20.100000000000001" customHeight="1">
      <c r="A128" s="447">
        <v>123</v>
      </c>
      <c r="B128" s="440" t="s">
        <v>558</v>
      </c>
      <c r="C128" s="441" t="s">
        <v>559</v>
      </c>
      <c r="D128" s="442" t="s">
        <v>445</v>
      </c>
      <c r="E128" s="442" t="s">
        <v>517</v>
      </c>
      <c r="F128" s="443">
        <v>44977</v>
      </c>
      <c r="G128" s="445">
        <v>31</v>
      </c>
      <c r="H128" s="444">
        <v>0</v>
      </c>
      <c r="I128" s="444">
        <v>4</v>
      </c>
      <c r="J128" s="444">
        <v>2</v>
      </c>
      <c r="K128" s="444">
        <v>25</v>
      </c>
      <c r="L128" s="446"/>
      <c r="M128" s="446">
        <v>31</v>
      </c>
      <c r="N128" s="780"/>
      <c r="O128" s="442" t="s">
        <v>1837</v>
      </c>
      <c r="P128" s="444"/>
    </row>
    <row r="129" spans="1:16" s="293" customFormat="1" ht="20.100000000000001" customHeight="1">
      <c r="A129" s="447">
        <v>124</v>
      </c>
      <c r="B129" s="440" t="s">
        <v>560</v>
      </c>
      <c r="C129" s="441" t="s">
        <v>561</v>
      </c>
      <c r="D129" s="442" t="s">
        <v>1363</v>
      </c>
      <c r="E129" s="442" t="s">
        <v>97</v>
      </c>
      <c r="F129" s="443">
        <v>44979</v>
      </c>
      <c r="G129" s="445">
        <v>31</v>
      </c>
      <c r="H129" s="444">
        <v>0</v>
      </c>
      <c r="I129" s="444">
        <v>4</v>
      </c>
      <c r="J129" s="444">
        <v>2</v>
      </c>
      <c r="K129" s="444">
        <v>25</v>
      </c>
      <c r="L129" s="446"/>
      <c r="M129" s="446">
        <v>31</v>
      </c>
      <c r="N129" s="780"/>
      <c r="O129" s="442" t="s">
        <v>1837</v>
      </c>
      <c r="P129" s="444"/>
    </row>
    <row r="130" spans="1:16" s="293" customFormat="1" ht="20.100000000000001" customHeight="1">
      <c r="A130" s="447">
        <v>125</v>
      </c>
      <c r="B130" s="440" t="s">
        <v>562</v>
      </c>
      <c r="C130" s="441" t="s">
        <v>563</v>
      </c>
      <c r="D130" s="442" t="s">
        <v>564</v>
      </c>
      <c r="E130" s="442" t="s">
        <v>97</v>
      </c>
      <c r="F130" s="443">
        <v>44972</v>
      </c>
      <c r="G130" s="445">
        <v>31</v>
      </c>
      <c r="H130" s="444">
        <v>0</v>
      </c>
      <c r="I130" s="444">
        <v>4</v>
      </c>
      <c r="J130" s="444">
        <v>2</v>
      </c>
      <c r="K130" s="444">
        <v>25</v>
      </c>
      <c r="L130" s="446"/>
      <c r="M130" s="446">
        <v>31</v>
      </c>
      <c r="N130" s="780"/>
      <c r="O130" s="442" t="s">
        <v>1837</v>
      </c>
      <c r="P130" s="444"/>
    </row>
    <row r="131" spans="1:16" s="293" customFormat="1" ht="20.100000000000001" customHeight="1">
      <c r="A131" s="447">
        <v>126</v>
      </c>
      <c r="B131" s="440" t="s">
        <v>591</v>
      </c>
      <c r="C131" s="441" t="s">
        <v>592</v>
      </c>
      <c r="D131" s="442" t="s">
        <v>492</v>
      </c>
      <c r="E131" s="442" t="s">
        <v>203</v>
      </c>
      <c r="F131" s="443">
        <v>44986</v>
      </c>
      <c r="G131" s="445">
        <v>31</v>
      </c>
      <c r="H131" s="444">
        <v>0</v>
      </c>
      <c r="I131" s="444">
        <v>4</v>
      </c>
      <c r="J131" s="444">
        <v>2</v>
      </c>
      <c r="K131" s="444">
        <v>25</v>
      </c>
      <c r="L131" s="446"/>
      <c r="M131" s="446">
        <v>31</v>
      </c>
      <c r="N131" s="780"/>
      <c r="O131" s="442" t="s">
        <v>1837</v>
      </c>
      <c r="P131" s="444"/>
    </row>
    <row r="132" spans="1:16" s="293" customFormat="1">
      <c r="A132" s="447">
        <v>127</v>
      </c>
      <c r="B132" s="440" t="s">
        <v>565</v>
      </c>
      <c r="C132" s="441" t="s">
        <v>566</v>
      </c>
      <c r="D132" s="442" t="s">
        <v>435</v>
      </c>
      <c r="E132" s="442" t="s">
        <v>97</v>
      </c>
      <c r="F132" s="443">
        <v>44977</v>
      </c>
      <c r="G132" s="445">
        <v>31</v>
      </c>
      <c r="H132" s="444">
        <v>0</v>
      </c>
      <c r="I132" s="444">
        <v>4</v>
      </c>
      <c r="J132" s="444">
        <v>2</v>
      </c>
      <c r="K132" s="444">
        <v>25</v>
      </c>
      <c r="L132" s="446"/>
      <c r="M132" s="446">
        <v>31</v>
      </c>
      <c r="N132" s="780"/>
      <c r="O132" s="442" t="s">
        <v>1837</v>
      </c>
      <c r="P132" s="444"/>
    </row>
    <row r="133" spans="1:16" s="293" customFormat="1" ht="20.100000000000001" customHeight="1">
      <c r="A133" s="447">
        <v>128</v>
      </c>
      <c r="B133" s="440" t="s">
        <v>593</v>
      </c>
      <c r="C133" s="441" t="s">
        <v>594</v>
      </c>
      <c r="D133" s="442" t="s">
        <v>433</v>
      </c>
      <c r="E133" s="442" t="s">
        <v>517</v>
      </c>
      <c r="F133" s="443">
        <v>44986</v>
      </c>
      <c r="G133" s="445">
        <v>31</v>
      </c>
      <c r="H133" s="444">
        <v>0</v>
      </c>
      <c r="I133" s="444">
        <v>4</v>
      </c>
      <c r="J133" s="444">
        <v>2</v>
      </c>
      <c r="K133" s="444">
        <v>25</v>
      </c>
      <c r="L133" s="446"/>
      <c r="M133" s="446">
        <v>31</v>
      </c>
      <c r="N133" s="780"/>
      <c r="O133" s="442" t="s">
        <v>1837</v>
      </c>
      <c r="P133" s="444"/>
    </row>
    <row r="134" spans="1:16" s="293" customFormat="1" ht="20.100000000000001" customHeight="1">
      <c r="A134" s="447">
        <v>129</v>
      </c>
      <c r="B134" s="440" t="s">
        <v>588</v>
      </c>
      <c r="C134" s="441" t="s">
        <v>589</v>
      </c>
      <c r="D134" s="442" t="s">
        <v>445</v>
      </c>
      <c r="E134" s="442" t="s">
        <v>517</v>
      </c>
      <c r="F134" s="443">
        <v>45000</v>
      </c>
      <c r="G134" s="445">
        <v>31</v>
      </c>
      <c r="H134" s="444">
        <v>0</v>
      </c>
      <c r="I134" s="444">
        <v>4</v>
      </c>
      <c r="J134" s="444">
        <v>2</v>
      </c>
      <c r="K134" s="444">
        <v>25</v>
      </c>
      <c r="L134" s="446"/>
      <c r="M134" s="446">
        <v>31</v>
      </c>
      <c r="N134" s="780"/>
      <c r="O134" s="442" t="s">
        <v>1837</v>
      </c>
      <c r="P134" s="444"/>
    </row>
    <row r="135" spans="1:16" s="293" customFormat="1" ht="20.100000000000001" customHeight="1">
      <c r="A135" s="447">
        <v>130</v>
      </c>
      <c r="B135" s="440" t="s">
        <v>606</v>
      </c>
      <c r="C135" s="441" t="s">
        <v>607</v>
      </c>
      <c r="D135" s="442" t="s">
        <v>435</v>
      </c>
      <c r="E135" s="442" t="s">
        <v>97</v>
      </c>
      <c r="F135" s="443">
        <v>45021</v>
      </c>
      <c r="G135" s="445">
        <v>31</v>
      </c>
      <c r="H135" s="444">
        <v>0</v>
      </c>
      <c r="I135" s="444">
        <v>4</v>
      </c>
      <c r="J135" s="444">
        <v>2</v>
      </c>
      <c r="K135" s="444">
        <v>25</v>
      </c>
      <c r="L135" s="446"/>
      <c r="M135" s="446">
        <v>31</v>
      </c>
      <c r="N135" s="780"/>
      <c r="O135" s="442" t="s">
        <v>1837</v>
      </c>
      <c r="P135" s="444"/>
    </row>
    <row r="136" spans="1:16" s="293" customFormat="1" ht="20.100000000000001" customHeight="1">
      <c r="A136" s="447">
        <v>131</v>
      </c>
      <c r="B136" s="440" t="s">
        <v>608</v>
      </c>
      <c r="C136" s="441" t="s">
        <v>609</v>
      </c>
      <c r="D136" s="442" t="s">
        <v>435</v>
      </c>
      <c r="E136" s="442" t="s">
        <v>97</v>
      </c>
      <c r="F136" s="443">
        <v>45025</v>
      </c>
      <c r="G136" s="445">
        <v>31</v>
      </c>
      <c r="H136" s="444">
        <v>0</v>
      </c>
      <c r="I136" s="444">
        <v>4</v>
      </c>
      <c r="J136" s="444">
        <v>2</v>
      </c>
      <c r="K136" s="444">
        <v>25</v>
      </c>
      <c r="L136" s="446"/>
      <c r="M136" s="446">
        <v>31</v>
      </c>
      <c r="N136" s="780"/>
      <c r="O136" s="442" t="s">
        <v>1837</v>
      </c>
      <c r="P136" s="444"/>
    </row>
    <row r="137" spans="1:16" s="293" customFormat="1" ht="20.100000000000001" customHeight="1">
      <c r="A137" s="447">
        <v>132</v>
      </c>
      <c r="B137" s="440" t="s">
        <v>610</v>
      </c>
      <c r="C137" s="441" t="s">
        <v>611</v>
      </c>
      <c r="D137" s="442" t="s">
        <v>435</v>
      </c>
      <c r="E137" s="442" t="s">
        <v>97</v>
      </c>
      <c r="F137" s="443">
        <v>45024</v>
      </c>
      <c r="G137" s="445">
        <v>31</v>
      </c>
      <c r="H137" s="444">
        <v>3</v>
      </c>
      <c r="I137" s="444">
        <v>4</v>
      </c>
      <c r="J137" s="444">
        <v>2</v>
      </c>
      <c r="K137" s="444">
        <v>22</v>
      </c>
      <c r="L137" s="446"/>
      <c r="M137" s="446">
        <v>31</v>
      </c>
      <c r="N137" s="780"/>
      <c r="O137" s="442" t="s">
        <v>1837</v>
      </c>
      <c r="P137" s="444"/>
    </row>
    <row r="138" spans="1:16" s="293" customFormat="1" ht="20.100000000000001" customHeight="1">
      <c r="A138" s="447">
        <v>133</v>
      </c>
      <c r="B138" s="440" t="s">
        <v>613</v>
      </c>
      <c r="C138" s="441" t="s">
        <v>614</v>
      </c>
      <c r="D138" s="442" t="s">
        <v>435</v>
      </c>
      <c r="E138" s="442" t="s">
        <v>97</v>
      </c>
      <c r="F138" s="443">
        <v>45024</v>
      </c>
      <c r="G138" s="445">
        <v>31</v>
      </c>
      <c r="H138" s="444">
        <v>0</v>
      </c>
      <c r="I138" s="444">
        <v>4</v>
      </c>
      <c r="J138" s="444">
        <v>2</v>
      </c>
      <c r="K138" s="444">
        <v>18</v>
      </c>
      <c r="L138" s="446">
        <v>7</v>
      </c>
      <c r="M138" s="446">
        <v>24</v>
      </c>
      <c r="N138" s="780"/>
      <c r="O138" s="442" t="s">
        <v>1837</v>
      </c>
      <c r="P138" s="444"/>
    </row>
    <row r="139" spans="1:16" s="293" customFormat="1" ht="20.100000000000001" customHeight="1">
      <c r="A139" s="447">
        <v>134</v>
      </c>
      <c r="B139" s="440" t="s">
        <v>615</v>
      </c>
      <c r="C139" s="441" t="s">
        <v>616</v>
      </c>
      <c r="D139" s="442" t="s">
        <v>435</v>
      </c>
      <c r="E139" s="442" t="s">
        <v>97</v>
      </c>
      <c r="F139" s="443">
        <v>45032</v>
      </c>
      <c r="G139" s="445">
        <v>31</v>
      </c>
      <c r="H139" s="444">
        <v>0</v>
      </c>
      <c r="I139" s="444">
        <v>4</v>
      </c>
      <c r="J139" s="444">
        <v>2</v>
      </c>
      <c r="K139" s="444">
        <v>25</v>
      </c>
      <c r="L139" s="446"/>
      <c r="M139" s="446">
        <v>31</v>
      </c>
      <c r="N139" s="780"/>
      <c r="O139" s="442" t="s">
        <v>1837</v>
      </c>
      <c r="P139" s="444"/>
    </row>
    <row r="140" spans="1:16" s="293" customFormat="1" ht="20.100000000000001" customHeight="1">
      <c r="A140" s="447">
        <v>135</v>
      </c>
      <c r="B140" s="440" t="s">
        <v>617</v>
      </c>
      <c r="C140" s="441" t="s">
        <v>618</v>
      </c>
      <c r="D140" s="442" t="s">
        <v>435</v>
      </c>
      <c r="E140" s="442" t="s">
        <v>97</v>
      </c>
      <c r="F140" s="443">
        <v>45041</v>
      </c>
      <c r="G140" s="445">
        <v>31</v>
      </c>
      <c r="H140" s="444">
        <v>0</v>
      </c>
      <c r="I140" s="444">
        <v>4</v>
      </c>
      <c r="J140" s="444">
        <v>2</v>
      </c>
      <c r="K140" s="444">
        <v>25</v>
      </c>
      <c r="L140" s="446"/>
      <c r="M140" s="446">
        <v>31</v>
      </c>
      <c r="N140" s="780"/>
      <c r="O140" s="442" t="s">
        <v>1837</v>
      </c>
      <c r="P140" s="444"/>
    </row>
    <row r="141" spans="1:16" s="293" customFormat="1" ht="20.100000000000001" customHeight="1">
      <c r="A141" s="447">
        <v>136</v>
      </c>
      <c r="B141" s="440" t="s">
        <v>619</v>
      </c>
      <c r="C141" s="441" t="s">
        <v>620</v>
      </c>
      <c r="D141" s="442" t="s">
        <v>451</v>
      </c>
      <c r="E141" s="442" t="s">
        <v>203</v>
      </c>
      <c r="F141" s="443">
        <v>45042</v>
      </c>
      <c r="G141" s="445">
        <v>31</v>
      </c>
      <c r="H141" s="444">
        <v>0</v>
      </c>
      <c r="I141" s="444">
        <v>4</v>
      </c>
      <c r="J141" s="444">
        <v>2</v>
      </c>
      <c r="K141" s="444">
        <v>25</v>
      </c>
      <c r="L141" s="446"/>
      <c r="M141" s="446">
        <v>31</v>
      </c>
      <c r="N141" s="780"/>
      <c r="O141" s="442" t="s">
        <v>1837</v>
      </c>
      <c r="P141" s="444"/>
    </row>
    <row r="142" spans="1:16" s="293" customFormat="1" ht="20.100000000000001" customHeight="1">
      <c r="A142" s="447">
        <v>137</v>
      </c>
      <c r="B142" s="440" t="s">
        <v>637</v>
      </c>
      <c r="C142" s="441" t="s">
        <v>638</v>
      </c>
      <c r="D142" s="442" t="s">
        <v>480</v>
      </c>
      <c r="E142" s="442" t="s">
        <v>97</v>
      </c>
      <c r="F142" s="443">
        <v>45049</v>
      </c>
      <c r="G142" s="445">
        <v>31</v>
      </c>
      <c r="H142" s="444">
        <v>0</v>
      </c>
      <c r="I142" s="444">
        <v>4</v>
      </c>
      <c r="J142" s="444">
        <v>2</v>
      </c>
      <c r="K142" s="444">
        <v>25</v>
      </c>
      <c r="L142" s="446"/>
      <c r="M142" s="446">
        <v>31</v>
      </c>
      <c r="N142" s="780"/>
      <c r="O142" s="442" t="s">
        <v>1837</v>
      </c>
      <c r="P142" s="444"/>
    </row>
    <row r="143" spans="1:16" s="293" customFormat="1" ht="20.100000000000001" customHeight="1">
      <c r="A143" s="447">
        <v>138</v>
      </c>
      <c r="B143" s="440" t="s">
        <v>639</v>
      </c>
      <c r="C143" s="441" t="s">
        <v>182</v>
      </c>
      <c r="D143" s="442" t="s">
        <v>445</v>
      </c>
      <c r="E143" s="442" t="s">
        <v>203</v>
      </c>
      <c r="F143" s="443">
        <v>45048</v>
      </c>
      <c r="G143" s="445">
        <v>31</v>
      </c>
      <c r="H143" s="444">
        <v>0</v>
      </c>
      <c r="I143" s="444">
        <v>4</v>
      </c>
      <c r="J143" s="444">
        <v>2</v>
      </c>
      <c r="K143" s="444">
        <v>25</v>
      </c>
      <c r="L143" s="446"/>
      <c r="M143" s="446">
        <v>31</v>
      </c>
      <c r="N143" s="780"/>
      <c r="O143" s="442" t="s">
        <v>1837</v>
      </c>
      <c r="P143" s="444"/>
    </row>
    <row r="144" spans="1:16" s="293" customFormat="1" ht="20.100000000000001" customHeight="1">
      <c r="A144" s="447">
        <v>139</v>
      </c>
      <c r="B144" s="440" t="s">
        <v>641</v>
      </c>
      <c r="C144" s="441" t="s">
        <v>642</v>
      </c>
      <c r="D144" s="442" t="s">
        <v>452</v>
      </c>
      <c r="E144" s="442" t="s">
        <v>517</v>
      </c>
      <c r="F144" s="443">
        <v>45048</v>
      </c>
      <c r="G144" s="445">
        <v>31</v>
      </c>
      <c r="H144" s="444">
        <v>0</v>
      </c>
      <c r="I144" s="444">
        <v>4</v>
      </c>
      <c r="J144" s="444">
        <v>2</v>
      </c>
      <c r="K144" s="444">
        <v>25</v>
      </c>
      <c r="L144" s="446"/>
      <c r="M144" s="446">
        <v>31</v>
      </c>
      <c r="N144" s="780"/>
      <c r="O144" s="442" t="s">
        <v>1837</v>
      </c>
      <c r="P144" s="444"/>
    </row>
    <row r="145" spans="1:16" s="293" customFormat="1" ht="20.100000000000001" customHeight="1">
      <c r="A145" s="447">
        <v>140</v>
      </c>
      <c r="B145" s="440" t="s">
        <v>643</v>
      </c>
      <c r="C145" s="441" t="s">
        <v>644</v>
      </c>
      <c r="D145" s="442" t="s">
        <v>460</v>
      </c>
      <c r="E145" s="442" t="s">
        <v>347</v>
      </c>
      <c r="F145" s="443">
        <v>45048</v>
      </c>
      <c r="G145" s="445">
        <v>31</v>
      </c>
      <c r="H145" s="444">
        <v>0</v>
      </c>
      <c r="I145" s="444">
        <v>4</v>
      </c>
      <c r="J145" s="444">
        <v>2</v>
      </c>
      <c r="K145" s="444">
        <v>25</v>
      </c>
      <c r="L145" s="446"/>
      <c r="M145" s="446">
        <v>31</v>
      </c>
      <c r="N145" s="780"/>
      <c r="O145" s="442" t="s">
        <v>1837</v>
      </c>
      <c r="P145" s="444"/>
    </row>
    <row r="146" spans="1:16" s="293" customFormat="1" ht="20.100000000000001" customHeight="1">
      <c r="A146" s="447">
        <v>141</v>
      </c>
      <c r="B146" s="440" t="s">
        <v>645</v>
      </c>
      <c r="C146" s="441" t="s">
        <v>646</v>
      </c>
      <c r="D146" s="442" t="s">
        <v>445</v>
      </c>
      <c r="E146" s="442" t="s">
        <v>517</v>
      </c>
      <c r="F146" s="443">
        <v>45048</v>
      </c>
      <c r="G146" s="445">
        <v>31</v>
      </c>
      <c r="H146" s="444">
        <v>0</v>
      </c>
      <c r="I146" s="444">
        <v>4</v>
      </c>
      <c r="J146" s="444">
        <v>2</v>
      </c>
      <c r="K146" s="444">
        <v>25</v>
      </c>
      <c r="L146" s="446"/>
      <c r="M146" s="446">
        <v>31</v>
      </c>
      <c r="N146" s="780"/>
      <c r="O146" s="442" t="s">
        <v>1837</v>
      </c>
      <c r="P146" s="444"/>
    </row>
    <row r="147" spans="1:16" s="293" customFormat="1" ht="20.100000000000001" customHeight="1">
      <c r="A147" s="447">
        <v>142</v>
      </c>
      <c r="B147" s="440" t="s">
        <v>648</v>
      </c>
      <c r="C147" s="441" t="s">
        <v>649</v>
      </c>
      <c r="D147" s="442" t="s">
        <v>595</v>
      </c>
      <c r="E147" s="442" t="s">
        <v>203</v>
      </c>
      <c r="F147" s="443">
        <v>45052</v>
      </c>
      <c r="G147" s="445">
        <v>31</v>
      </c>
      <c r="H147" s="444">
        <v>0</v>
      </c>
      <c r="I147" s="444">
        <v>4</v>
      </c>
      <c r="J147" s="444">
        <v>2</v>
      </c>
      <c r="K147" s="444">
        <v>25</v>
      </c>
      <c r="L147" s="446"/>
      <c r="M147" s="446">
        <v>31</v>
      </c>
      <c r="N147" s="780"/>
      <c r="O147" s="442" t="s">
        <v>1837</v>
      </c>
      <c r="P147" s="444"/>
    </row>
    <row r="148" spans="1:16" s="293" customFormat="1" ht="20.100000000000001" customHeight="1">
      <c r="A148" s="447">
        <v>143</v>
      </c>
      <c r="B148" s="440" t="s">
        <v>626</v>
      </c>
      <c r="C148" s="441" t="s">
        <v>628</v>
      </c>
      <c r="D148" s="442" t="s">
        <v>629</v>
      </c>
      <c r="E148" s="442" t="s">
        <v>426</v>
      </c>
      <c r="F148" s="443">
        <v>45048</v>
      </c>
      <c r="G148" s="445">
        <v>31</v>
      </c>
      <c r="H148" s="444">
        <v>0</v>
      </c>
      <c r="I148" s="444">
        <v>4</v>
      </c>
      <c r="J148" s="444">
        <v>2</v>
      </c>
      <c r="K148" s="444">
        <v>25</v>
      </c>
      <c r="L148" s="446"/>
      <c r="M148" s="446">
        <v>31</v>
      </c>
      <c r="N148" s="780"/>
      <c r="O148" s="442" t="s">
        <v>1837</v>
      </c>
      <c r="P148" s="444"/>
    </row>
    <row r="149" spans="1:16" s="293" customFormat="1" ht="20.100000000000001" customHeight="1">
      <c r="A149" s="447">
        <v>144</v>
      </c>
      <c r="B149" s="440" t="s">
        <v>650</v>
      </c>
      <c r="C149" s="441" t="s">
        <v>651</v>
      </c>
      <c r="D149" s="442" t="s">
        <v>473</v>
      </c>
      <c r="E149" s="442" t="s">
        <v>97</v>
      </c>
      <c r="F149" s="443">
        <v>45053</v>
      </c>
      <c r="G149" s="445">
        <v>31</v>
      </c>
      <c r="H149" s="444">
        <v>0</v>
      </c>
      <c r="I149" s="444">
        <v>4</v>
      </c>
      <c r="J149" s="444">
        <v>2</v>
      </c>
      <c r="K149" s="444">
        <v>25</v>
      </c>
      <c r="L149" s="446"/>
      <c r="M149" s="446">
        <v>31</v>
      </c>
      <c r="N149" s="780"/>
      <c r="O149" s="442" t="s">
        <v>1837</v>
      </c>
      <c r="P149" s="444"/>
    </row>
    <row r="150" spans="1:16" s="293" customFormat="1" ht="20.100000000000001" customHeight="1">
      <c r="A150" s="447">
        <v>145</v>
      </c>
      <c r="B150" s="440" t="s">
        <v>654</v>
      </c>
      <c r="C150" s="441" t="s">
        <v>655</v>
      </c>
      <c r="D150" s="442" t="s">
        <v>604</v>
      </c>
      <c r="E150" s="442" t="s">
        <v>879</v>
      </c>
      <c r="F150" s="443">
        <v>42444</v>
      </c>
      <c r="G150" s="445">
        <v>31</v>
      </c>
      <c r="H150" s="444">
        <v>0</v>
      </c>
      <c r="I150" s="444">
        <v>4</v>
      </c>
      <c r="J150" s="444">
        <v>2</v>
      </c>
      <c r="K150" s="444">
        <v>25</v>
      </c>
      <c r="L150" s="446"/>
      <c r="M150" s="446">
        <v>31</v>
      </c>
      <c r="N150" s="780"/>
      <c r="O150" s="442" t="s">
        <v>1837</v>
      </c>
      <c r="P150" s="444"/>
    </row>
    <row r="151" spans="1:16" s="293" customFormat="1" ht="20.100000000000001" customHeight="1">
      <c r="A151" s="447">
        <v>146</v>
      </c>
      <c r="B151" s="440" t="s">
        <v>656</v>
      </c>
      <c r="C151" s="441" t="s">
        <v>657</v>
      </c>
      <c r="D151" s="442" t="s">
        <v>435</v>
      </c>
      <c r="E151" s="442" t="s">
        <v>97</v>
      </c>
      <c r="F151" s="443">
        <v>45054</v>
      </c>
      <c r="G151" s="445">
        <v>31</v>
      </c>
      <c r="H151" s="444">
        <v>0</v>
      </c>
      <c r="I151" s="444">
        <v>4</v>
      </c>
      <c r="J151" s="444">
        <v>2</v>
      </c>
      <c r="K151" s="444">
        <v>25</v>
      </c>
      <c r="L151" s="446"/>
      <c r="M151" s="446">
        <v>31</v>
      </c>
      <c r="N151" s="780"/>
      <c r="O151" s="442" t="s">
        <v>1837</v>
      </c>
      <c r="P151" s="444"/>
    </row>
    <row r="152" spans="1:16" s="293" customFormat="1" ht="20.100000000000001" customHeight="1">
      <c r="A152" s="447">
        <v>147</v>
      </c>
      <c r="B152" s="440" t="s">
        <v>658</v>
      </c>
      <c r="C152" s="441" t="s">
        <v>659</v>
      </c>
      <c r="D152" s="442" t="s">
        <v>564</v>
      </c>
      <c r="E152" s="442" t="s">
        <v>97</v>
      </c>
      <c r="F152" s="443">
        <v>45061</v>
      </c>
      <c r="G152" s="445">
        <v>31</v>
      </c>
      <c r="H152" s="444">
        <v>3</v>
      </c>
      <c r="I152" s="444">
        <v>4</v>
      </c>
      <c r="J152" s="444">
        <v>2</v>
      </c>
      <c r="K152" s="444">
        <v>22</v>
      </c>
      <c r="L152" s="446"/>
      <c r="M152" s="446">
        <v>31</v>
      </c>
      <c r="N152" s="780"/>
      <c r="O152" s="442" t="s">
        <v>1837</v>
      </c>
      <c r="P152" s="444"/>
    </row>
    <row r="153" spans="1:16" s="293" customFormat="1" ht="20.100000000000001" customHeight="1">
      <c r="A153" s="447">
        <v>148</v>
      </c>
      <c r="B153" s="440" t="s">
        <v>660</v>
      </c>
      <c r="C153" s="441" t="s">
        <v>661</v>
      </c>
      <c r="D153" s="442" t="s">
        <v>564</v>
      </c>
      <c r="E153" s="442" t="s">
        <v>97</v>
      </c>
      <c r="F153" s="443">
        <v>45061</v>
      </c>
      <c r="G153" s="445">
        <v>31</v>
      </c>
      <c r="H153" s="444">
        <v>0</v>
      </c>
      <c r="I153" s="444">
        <v>4</v>
      </c>
      <c r="J153" s="444">
        <v>2</v>
      </c>
      <c r="K153" s="444">
        <v>25</v>
      </c>
      <c r="L153" s="446"/>
      <c r="M153" s="446">
        <v>31</v>
      </c>
      <c r="N153" s="780"/>
      <c r="O153" s="442" t="s">
        <v>1837</v>
      </c>
      <c r="P153" s="444"/>
    </row>
    <row r="154" spans="1:16" s="293" customFormat="1" ht="20.100000000000001" customHeight="1">
      <c r="A154" s="447">
        <v>149</v>
      </c>
      <c r="B154" s="440" t="s">
        <v>662</v>
      </c>
      <c r="C154" s="441" t="s">
        <v>663</v>
      </c>
      <c r="D154" s="442" t="s">
        <v>564</v>
      </c>
      <c r="E154" s="442" t="s">
        <v>97</v>
      </c>
      <c r="F154" s="443">
        <v>45061</v>
      </c>
      <c r="G154" s="445">
        <v>31</v>
      </c>
      <c r="H154" s="444">
        <v>0</v>
      </c>
      <c r="I154" s="444">
        <v>4</v>
      </c>
      <c r="J154" s="444">
        <v>2</v>
      </c>
      <c r="K154" s="444">
        <v>25</v>
      </c>
      <c r="L154" s="446"/>
      <c r="M154" s="446">
        <v>31</v>
      </c>
      <c r="N154" s="780"/>
      <c r="O154" s="442" t="s">
        <v>1837</v>
      </c>
      <c r="P154" s="444"/>
    </row>
    <row r="155" spans="1:16" s="293" customFormat="1" ht="20.100000000000001" customHeight="1">
      <c r="A155" s="447">
        <v>150</v>
      </c>
      <c r="B155" s="440" t="s">
        <v>627</v>
      </c>
      <c r="C155" s="441" t="s">
        <v>664</v>
      </c>
      <c r="D155" s="442" t="s">
        <v>1068</v>
      </c>
      <c r="E155" s="442" t="s">
        <v>426</v>
      </c>
      <c r="F155" s="443">
        <v>45061</v>
      </c>
      <c r="G155" s="445">
        <v>31</v>
      </c>
      <c r="H155" s="444">
        <v>0</v>
      </c>
      <c r="I155" s="444">
        <v>4</v>
      </c>
      <c r="J155" s="444">
        <v>2</v>
      </c>
      <c r="K155" s="444">
        <v>25</v>
      </c>
      <c r="L155" s="446"/>
      <c r="M155" s="446">
        <v>31</v>
      </c>
      <c r="N155" s="780"/>
      <c r="O155" s="442" t="s">
        <v>1837</v>
      </c>
      <c r="P155" s="444"/>
    </row>
    <row r="156" spans="1:16" s="293" customFormat="1" ht="20.100000000000001" customHeight="1">
      <c r="A156" s="447">
        <v>151</v>
      </c>
      <c r="B156" s="440" t="s">
        <v>665</v>
      </c>
      <c r="C156" s="441" t="s">
        <v>666</v>
      </c>
      <c r="D156" s="442" t="s">
        <v>466</v>
      </c>
      <c r="E156" s="442" t="s">
        <v>137</v>
      </c>
      <c r="F156" s="443">
        <v>45059</v>
      </c>
      <c r="G156" s="445">
        <v>31</v>
      </c>
      <c r="H156" s="444">
        <v>0</v>
      </c>
      <c r="I156" s="444">
        <v>4</v>
      </c>
      <c r="J156" s="444">
        <v>2</v>
      </c>
      <c r="K156" s="444">
        <v>25</v>
      </c>
      <c r="L156" s="446"/>
      <c r="M156" s="446">
        <v>31</v>
      </c>
      <c r="N156" s="780"/>
      <c r="O156" s="442" t="s">
        <v>1837</v>
      </c>
      <c r="P156" s="444"/>
    </row>
    <row r="157" spans="1:16" s="293" customFormat="1" ht="20.100000000000001" customHeight="1">
      <c r="A157" s="447">
        <v>152</v>
      </c>
      <c r="B157" s="440" t="s">
        <v>667</v>
      </c>
      <c r="C157" s="441" t="s">
        <v>378</v>
      </c>
      <c r="D157" s="442" t="s">
        <v>466</v>
      </c>
      <c r="E157" s="442" t="s">
        <v>137</v>
      </c>
      <c r="F157" s="443">
        <v>45054</v>
      </c>
      <c r="G157" s="445">
        <v>31</v>
      </c>
      <c r="H157" s="444">
        <v>0</v>
      </c>
      <c r="I157" s="444">
        <v>4</v>
      </c>
      <c r="J157" s="444">
        <v>2</v>
      </c>
      <c r="K157" s="444">
        <v>25</v>
      </c>
      <c r="L157" s="446"/>
      <c r="M157" s="446">
        <v>31</v>
      </c>
      <c r="N157" s="780"/>
      <c r="O157" s="442" t="s">
        <v>1837</v>
      </c>
      <c r="P157" s="444"/>
    </row>
    <row r="158" spans="1:16" s="293" customFormat="1" ht="20.100000000000001" customHeight="1">
      <c r="A158" s="447">
        <v>153</v>
      </c>
      <c r="B158" s="440" t="s">
        <v>668</v>
      </c>
      <c r="C158" s="441" t="s">
        <v>669</v>
      </c>
      <c r="D158" s="442" t="s">
        <v>466</v>
      </c>
      <c r="E158" s="442" t="s">
        <v>137</v>
      </c>
      <c r="F158" s="443">
        <v>45071</v>
      </c>
      <c r="G158" s="445">
        <v>31</v>
      </c>
      <c r="H158" s="444">
        <v>0</v>
      </c>
      <c r="I158" s="444">
        <v>4</v>
      </c>
      <c r="J158" s="444">
        <v>2</v>
      </c>
      <c r="K158" s="444">
        <v>25</v>
      </c>
      <c r="L158" s="446"/>
      <c r="M158" s="446">
        <v>31</v>
      </c>
      <c r="N158" s="780"/>
      <c r="O158" s="442" t="s">
        <v>1837</v>
      </c>
      <c r="P158" s="444"/>
    </row>
    <row r="159" spans="1:16" s="293" customFormat="1" ht="20.100000000000001" customHeight="1">
      <c r="A159" s="447">
        <v>154</v>
      </c>
      <c r="B159" s="440" t="s">
        <v>694</v>
      </c>
      <c r="C159" s="441" t="s">
        <v>695</v>
      </c>
      <c r="D159" s="442" t="s">
        <v>436</v>
      </c>
      <c r="E159" s="442" t="s">
        <v>517</v>
      </c>
      <c r="F159" s="443">
        <v>45078</v>
      </c>
      <c r="G159" s="445">
        <v>31</v>
      </c>
      <c r="H159" s="444">
        <v>0</v>
      </c>
      <c r="I159" s="444">
        <v>4</v>
      </c>
      <c r="J159" s="444">
        <v>2</v>
      </c>
      <c r="K159" s="444">
        <v>25</v>
      </c>
      <c r="L159" s="446"/>
      <c r="M159" s="446">
        <v>31</v>
      </c>
      <c r="N159" s="780"/>
      <c r="O159" s="442" t="s">
        <v>1837</v>
      </c>
      <c r="P159" s="444"/>
    </row>
    <row r="160" spans="1:16" s="293" customFormat="1" ht="20.100000000000001" customHeight="1">
      <c r="A160" s="447">
        <v>155</v>
      </c>
      <c r="B160" s="440" t="s">
        <v>696</v>
      </c>
      <c r="C160" s="441" t="s">
        <v>697</v>
      </c>
      <c r="D160" s="442" t="s">
        <v>480</v>
      </c>
      <c r="E160" s="442" t="s">
        <v>97</v>
      </c>
      <c r="F160" s="443">
        <v>45078</v>
      </c>
      <c r="G160" s="445">
        <v>31</v>
      </c>
      <c r="H160" s="444">
        <v>1</v>
      </c>
      <c r="I160" s="444">
        <v>4</v>
      </c>
      <c r="J160" s="444">
        <v>2</v>
      </c>
      <c r="K160" s="444">
        <v>21</v>
      </c>
      <c r="L160" s="446">
        <v>3</v>
      </c>
      <c r="M160" s="446">
        <v>28</v>
      </c>
      <c r="N160" s="780"/>
      <c r="O160" s="442" t="s">
        <v>1837</v>
      </c>
      <c r="P160" s="444"/>
    </row>
    <row r="161" spans="1:16" s="293" customFormat="1" ht="20.100000000000001" customHeight="1">
      <c r="A161" s="447">
        <v>156</v>
      </c>
      <c r="B161" s="440" t="s">
        <v>698</v>
      </c>
      <c r="C161" s="441" t="s">
        <v>699</v>
      </c>
      <c r="D161" s="442" t="s">
        <v>466</v>
      </c>
      <c r="E161" s="442" t="s">
        <v>137</v>
      </c>
      <c r="F161" s="443">
        <v>45088</v>
      </c>
      <c r="G161" s="445">
        <v>31</v>
      </c>
      <c r="H161" s="444">
        <v>0</v>
      </c>
      <c r="I161" s="444">
        <v>4</v>
      </c>
      <c r="J161" s="444">
        <v>2</v>
      </c>
      <c r="K161" s="444">
        <v>25</v>
      </c>
      <c r="L161" s="446"/>
      <c r="M161" s="446">
        <v>31</v>
      </c>
      <c r="N161" s="780"/>
      <c r="O161" s="442" t="s">
        <v>1837</v>
      </c>
      <c r="P161" s="444"/>
    </row>
    <row r="162" spans="1:16" s="293" customFormat="1" ht="20.100000000000001" customHeight="1">
      <c r="A162" s="447">
        <v>157</v>
      </c>
      <c r="B162" s="440" t="s">
        <v>700</v>
      </c>
      <c r="C162" s="441" t="s">
        <v>701</v>
      </c>
      <c r="D162" s="442" t="s">
        <v>433</v>
      </c>
      <c r="E162" s="442" t="s">
        <v>517</v>
      </c>
      <c r="F162" s="443">
        <v>45088</v>
      </c>
      <c r="G162" s="445">
        <v>31</v>
      </c>
      <c r="H162" s="444">
        <v>0</v>
      </c>
      <c r="I162" s="444">
        <v>4</v>
      </c>
      <c r="J162" s="444">
        <v>2</v>
      </c>
      <c r="K162" s="444">
        <v>25</v>
      </c>
      <c r="L162" s="446"/>
      <c r="M162" s="446">
        <v>31</v>
      </c>
      <c r="N162" s="780"/>
      <c r="O162" s="442" t="s">
        <v>1837</v>
      </c>
      <c r="P162" s="444"/>
    </row>
    <row r="163" spans="1:16" s="293" customFormat="1" ht="20.100000000000001" customHeight="1">
      <c r="A163" s="447">
        <v>158</v>
      </c>
      <c r="B163" s="440" t="s">
        <v>702</v>
      </c>
      <c r="C163" s="441" t="s">
        <v>703</v>
      </c>
      <c r="D163" s="442" t="s">
        <v>704</v>
      </c>
      <c r="E163" s="442" t="s">
        <v>517</v>
      </c>
      <c r="F163" s="443">
        <v>45078</v>
      </c>
      <c r="G163" s="445">
        <v>31</v>
      </c>
      <c r="H163" s="444">
        <v>0</v>
      </c>
      <c r="I163" s="444">
        <v>4</v>
      </c>
      <c r="J163" s="444">
        <v>2</v>
      </c>
      <c r="K163" s="444">
        <v>25</v>
      </c>
      <c r="L163" s="446"/>
      <c r="M163" s="446">
        <v>31</v>
      </c>
      <c r="N163" s="780"/>
      <c r="O163" s="442" t="s">
        <v>1837</v>
      </c>
      <c r="P163" s="444"/>
    </row>
    <row r="164" spans="1:16" s="293" customFormat="1" ht="20.100000000000001" customHeight="1">
      <c r="A164" s="447">
        <v>159</v>
      </c>
      <c r="B164" s="440" t="s">
        <v>719</v>
      </c>
      <c r="C164" s="441" t="s">
        <v>720</v>
      </c>
      <c r="D164" s="442" t="s">
        <v>629</v>
      </c>
      <c r="E164" s="442" t="s">
        <v>426</v>
      </c>
      <c r="F164" s="443">
        <v>45122</v>
      </c>
      <c r="G164" s="445">
        <v>31</v>
      </c>
      <c r="H164" s="444">
        <v>2</v>
      </c>
      <c r="I164" s="444">
        <v>4</v>
      </c>
      <c r="J164" s="444">
        <v>2</v>
      </c>
      <c r="K164" s="444">
        <v>23</v>
      </c>
      <c r="L164" s="446"/>
      <c r="M164" s="446">
        <v>31</v>
      </c>
      <c r="N164" s="780"/>
      <c r="O164" s="442" t="s">
        <v>1837</v>
      </c>
      <c r="P164" s="444"/>
    </row>
    <row r="165" spans="1:16" s="293" customFormat="1" ht="20.100000000000001" customHeight="1">
      <c r="A165" s="447">
        <v>160</v>
      </c>
      <c r="B165" s="440" t="s">
        <v>849</v>
      </c>
      <c r="C165" s="441" t="s">
        <v>850</v>
      </c>
      <c r="D165" s="442" t="s">
        <v>463</v>
      </c>
      <c r="E165" s="442" t="s">
        <v>517</v>
      </c>
      <c r="F165" s="443">
        <v>45139</v>
      </c>
      <c r="G165" s="445">
        <v>31</v>
      </c>
      <c r="H165" s="444">
        <v>0</v>
      </c>
      <c r="I165" s="444">
        <v>4</v>
      </c>
      <c r="J165" s="444">
        <v>2</v>
      </c>
      <c r="K165" s="444">
        <v>25</v>
      </c>
      <c r="L165" s="446"/>
      <c r="M165" s="446">
        <v>31</v>
      </c>
      <c r="N165" s="780"/>
      <c r="O165" s="442" t="s">
        <v>1837</v>
      </c>
      <c r="P165" s="444"/>
    </row>
    <row r="166" spans="1:16" s="293" customFormat="1" ht="20.100000000000001" customHeight="1">
      <c r="A166" s="447">
        <v>161</v>
      </c>
      <c r="B166" s="440" t="s">
        <v>851</v>
      </c>
      <c r="C166" s="441" t="s">
        <v>852</v>
      </c>
      <c r="D166" s="442" t="s">
        <v>452</v>
      </c>
      <c r="E166" s="442" t="s">
        <v>517</v>
      </c>
      <c r="F166" s="443">
        <v>45139</v>
      </c>
      <c r="G166" s="445">
        <v>31</v>
      </c>
      <c r="H166" s="444">
        <v>0</v>
      </c>
      <c r="I166" s="444">
        <v>4</v>
      </c>
      <c r="J166" s="444">
        <v>2</v>
      </c>
      <c r="K166" s="444">
        <v>25</v>
      </c>
      <c r="L166" s="446"/>
      <c r="M166" s="446">
        <v>31</v>
      </c>
      <c r="N166" s="780"/>
      <c r="O166" s="442" t="s">
        <v>1837</v>
      </c>
      <c r="P166" s="444"/>
    </row>
    <row r="167" spans="1:16" s="293" customFormat="1" ht="20.100000000000001" customHeight="1">
      <c r="A167" s="447">
        <v>162</v>
      </c>
      <c r="B167" s="440" t="s">
        <v>855</v>
      </c>
      <c r="C167" s="441" t="s">
        <v>856</v>
      </c>
      <c r="D167" s="442" t="s">
        <v>857</v>
      </c>
      <c r="E167" s="442" t="s">
        <v>74</v>
      </c>
      <c r="F167" s="443">
        <v>44958</v>
      </c>
      <c r="G167" s="445">
        <v>31</v>
      </c>
      <c r="H167" s="444">
        <v>0</v>
      </c>
      <c r="I167" s="444">
        <v>4</v>
      </c>
      <c r="J167" s="444">
        <v>2</v>
      </c>
      <c r="K167" s="444">
        <v>25</v>
      </c>
      <c r="L167" s="446"/>
      <c r="M167" s="446">
        <v>31</v>
      </c>
      <c r="N167" s="780"/>
      <c r="O167" s="442" t="s">
        <v>1837</v>
      </c>
      <c r="P167" s="444"/>
    </row>
    <row r="168" spans="1:16" s="293" customFormat="1" ht="20.100000000000001" customHeight="1">
      <c r="A168" s="447">
        <v>163</v>
      </c>
      <c r="B168" s="440" t="s">
        <v>858</v>
      </c>
      <c r="C168" s="441" t="s">
        <v>859</v>
      </c>
      <c r="D168" s="442" t="s">
        <v>629</v>
      </c>
      <c r="E168" s="442" t="s">
        <v>426</v>
      </c>
      <c r="F168" s="443">
        <v>45154</v>
      </c>
      <c r="G168" s="445">
        <v>31</v>
      </c>
      <c r="H168" s="444">
        <v>0</v>
      </c>
      <c r="I168" s="444">
        <v>4</v>
      </c>
      <c r="J168" s="444">
        <v>2</v>
      </c>
      <c r="K168" s="444">
        <v>25</v>
      </c>
      <c r="L168" s="446"/>
      <c r="M168" s="446">
        <v>31</v>
      </c>
      <c r="N168" s="780"/>
      <c r="O168" s="442" t="s">
        <v>1837</v>
      </c>
      <c r="P168" s="444"/>
    </row>
    <row r="169" spans="1:16" s="293" customFormat="1" ht="20.100000000000001" customHeight="1">
      <c r="A169" s="447">
        <v>164</v>
      </c>
      <c r="B169" s="440" t="s">
        <v>860</v>
      </c>
      <c r="C169" s="441" t="s">
        <v>861</v>
      </c>
      <c r="D169" s="442" t="s">
        <v>435</v>
      </c>
      <c r="E169" s="442" t="s">
        <v>97</v>
      </c>
      <c r="F169" s="443">
        <v>45150</v>
      </c>
      <c r="G169" s="445">
        <v>31</v>
      </c>
      <c r="H169" s="444">
        <v>0</v>
      </c>
      <c r="I169" s="444">
        <v>4</v>
      </c>
      <c r="J169" s="444">
        <v>2</v>
      </c>
      <c r="K169" s="444">
        <v>25</v>
      </c>
      <c r="L169" s="446"/>
      <c r="M169" s="446">
        <v>31</v>
      </c>
      <c r="N169" s="780"/>
      <c r="O169" s="442" t="s">
        <v>1837</v>
      </c>
      <c r="P169" s="444"/>
    </row>
    <row r="170" spans="1:16" s="293" customFormat="1" ht="20.100000000000001" customHeight="1">
      <c r="A170" s="447">
        <v>165</v>
      </c>
      <c r="B170" s="440" t="s">
        <v>864</v>
      </c>
      <c r="C170" s="441" t="s">
        <v>865</v>
      </c>
      <c r="D170" s="442" t="s">
        <v>473</v>
      </c>
      <c r="E170" s="442" t="s">
        <v>97</v>
      </c>
      <c r="F170" s="443">
        <v>45155</v>
      </c>
      <c r="G170" s="445">
        <v>31</v>
      </c>
      <c r="H170" s="444">
        <v>0</v>
      </c>
      <c r="I170" s="444">
        <v>4</v>
      </c>
      <c r="J170" s="444">
        <v>2</v>
      </c>
      <c r="K170" s="444">
        <v>25</v>
      </c>
      <c r="L170" s="446"/>
      <c r="M170" s="446">
        <v>31</v>
      </c>
      <c r="N170" s="780"/>
      <c r="O170" s="442" t="s">
        <v>1837</v>
      </c>
      <c r="P170" s="444"/>
    </row>
    <row r="171" spans="1:16" s="293" customFormat="1" ht="20.100000000000001" customHeight="1">
      <c r="A171" s="447">
        <v>166</v>
      </c>
      <c r="B171" s="440" t="s">
        <v>866</v>
      </c>
      <c r="C171" s="441" t="s">
        <v>867</v>
      </c>
      <c r="D171" s="442" t="s">
        <v>435</v>
      </c>
      <c r="E171" s="442" t="s">
        <v>97</v>
      </c>
      <c r="F171" s="443">
        <v>45157</v>
      </c>
      <c r="G171" s="445">
        <v>31</v>
      </c>
      <c r="H171" s="444">
        <v>2</v>
      </c>
      <c r="I171" s="444">
        <v>4</v>
      </c>
      <c r="J171" s="444">
        <v>2</v>
      </c>
      <c r="K171" s="444">
        <v>23</v>
      </c>
      <c r="L171" s="446"/>
      <c r="M171" s="446">
        <v>31</v>
      </c>
      <c r="N171" s="780"/>
      <c r="O171" s="442" t="s">
        <v>1837</v>
      </c>
      <c r="P171" s="444"/>
    </row>
    <row r="172" spans="1:16" s="293" customFormat="1" ht="20.100000000000001" customHeight="1">
      <c r="A172" s="447">
        <v>167</v>
      </c>
      <c r="B172" s="440" t="s">
        <v>868</v>
      </c>
      <c r="C172" s="441" t="s">
        <v>869</v>
      </c>
      <c r="D172" s="442" t="s">
        <v>435</v>
      </c>
      <c r="E172" s="442" t="s">
        <v>97</v>
      </c>
      <c r="F172" s="443">
        <v>45160</v>
      </c>
      <c r="G172" s="445">
        <v>31</v>
      </c>
      <c r="H172" s="444">
        <v>0</v>
      </c>
      <c r="I172" s="444">
        <v>4</v>
      </c>
      <c r="J172" s="444">
        <v>2</v>
      </c>
      <c r="K172" s="444">
        <v>25</v>
      </c>
      <c r="L172" s="446"/>
      <c r="M172" s="446">
        <v>31</v>
      </c>
      <c r="N172" s="780"/>
      <c r="O172" s="442" t="s">
        <v>1837</v>
      </c>
      <c r="P172" s="444"/>
    </row>
    <row r="173" spans="1:16" s="293" customFormat="1" ht="20.100000000000001" customHeight="1">
      <c r="A173" s="447">
        <v>168</v>
      </c>
      <c r="B173" s="440" t="s">
        <v>883</v>
      </c>
      <c r="C173" s="441" t="s">
        <v>884</v>
      </c>
      <c r="D173" s="442" t="s">
        <v>885</v>
      </c>
      <c r="E173" s="442" t="s">
        <v>203</v>
      </c>
      <c r="F173" s="443">
        <v>45171</v>
      </c>
      <c r="G173" s="445">
        <v>31</v>
      </c>
      <c r="H173" s="444">
        <v>0</v>
      </c>
      <c r="I173" s="444">
        <v>4</v>
      </c>
      <c r="J173" s="444">
        <v>2</v>
      </c>
      <c r="K173" s="444">
        <v>25</v>
      </c>
      <c r="L173" s="446"/>
      <c r="M173" s="446">
        <v>31</v>
      </c>
      <c r="N173" s="780"/>
      <c r="O173" s="442" t="s">
        <v>1837</v>
      </c>
      <c r="P173" s="444"/>
    </row>
    <row r="174" spans="1:16" s="293" customFormat="1" ht="20.100000000000001" customHeight="1">
      <c r="A174" s="447">
        <v>169</v>
      </c>
      <c r="B174" s="440" t="s">
        <v>886</v>
      </c>
      <c r="C174" s="441" t="s">
        <v>887</v>
      </c>
      <c r="D174" s="442" t="s">
        <v>885</v>
      </c>
      <c r="E174" s="442" t="s">
        <v>203</v>
      </c>
      <c r="F174" s="443">
        <v>45171</v>
      </c>
      <c r="G174" s="445">
        <v>31</v>
      </c>
      <c r="H174" s="444">
        <v>0</v>
      </c>
      <c r="I174" s="444">
        <v>4</v>
      </c>
      <c r="J174" s="444">
        <v>2</v>
      </c>
      <c r="K174" s="444">
        <v>25</v>
      </c>
      <c r="L174" s="446"/>
      <c r="M174" s="446">
        <v>31</v>
      </c>
      <c r="N174" s="780"/>
      <c r="O174" s="442" t="s">
        <v>1837</v>
      </c>
      <c r="P174" s="444"/>
    </row>
    <row r="175" spans="1:16" s="293" customFormat="1" ht="20.100000000000001" customHeight="1">
      <c r="A175" s="447">
        <v>170</v>
      </c>
      <c r="B175" s="440" t="s">
        <v>888</v>
      </c>
      <c r="C175" s="441" t="s">
        <v>889</v>
      </c>
      <c r="D175" s="442" t="s">
        <v>1155</v>
      </c>
      <c r="E175" s="442" t="s">
        <v>1221</v>
      </c>
      <c r="F175" s="443">
        <v>45171</v>
      </c>
      <c r="G175" s="445">
        <v>31</v>
      </c>
      <c r="H175" s="444">
        <v>0</v>
      </c>
      <c r="I175" s="444">
        <v>4</v>
      </c>
      <c r="J175" s="444">
        <v>2</v>
      </c>
      <c r="K175" s="444">
        <v>25</v>
      </c>
      <c r="L175" s="446"/>
      <c r="M175" s="446">
        <v>31</v>
      </c>
      <c r="N175" s="780"/>
      <c r="O175" s="442" t="s">
        <v>1837</v>
      </c>
      <c r="P175" s="444"/>
    </row>
    <row r="176" spans="1:16" s="293" customFormat="1" ht="20.100000000000001" customHeight="1">
      <c r="A176" s="447">
        <v>171</v>
      </c>
      <c r="B176" s="440" t="s">
        <v>891</v>
      </c>
      <c r="C176" s="441" t="s">
        <v>892</v>
      </c>
      <c r="D176" s="442" t="s">
        <v>484</v>
      </c>
      <c r="E176" s="442" t="s">
        <v>1221</v>
      </c>
      <c r="F176" s="443">
        <v>45171</v>
      </c>
      <c r="G176" s="445">
        <v>31</v>
      </c>
      <c r="H176" s="444">
        <v>0</v>
      </c>
      <c r="I176" s="444">
        <v>4</v>
      </c>
      <c r="J176" s="444">
        <v>2</v>
      </c>
      <c r="K176" s="444">
        <v>24</v>
      </c>
      <c r="L176" s="446">
        <v>1</v>
      </c>
      <c r="M176" s="446">
        <v>30</v>
      </c>
      <c r="N176" s="780"/>
      <c r="O176" s="442" t="s">
        <v>1837</v>
      </c>
      <c r="P176" s="444" t="s">
        <v>1839</v>
      </c>
    </row>
    <row r="177" spans="1:16" s="293" customFormat="1" ht="20.100000000000001" customHeight="1">
      <c r="A177" s="447">
        <v>172</v>
      </c>
      <c r="B177" s="440" t="s">
        <v>893</v>
      </c>
      <c r="C177" s="441" t="s">
        <v>894</v>
      </c>
      <c r="D177" s="442" t="s">
        <v>437</v>
      </c>
      <c r="E177" s="442" t="s">
        <v>426</v>
      </c>
      <c r="F177" s="443">
        <v>45171</v>
      </c>
      <c r="G177" s="445">
        <v>31</v>
      </c>
      <c r="H177" s="444">
        <v>8</v>
      </c>
      <c r="I177" s="444">
        <v>4</v>
      </c>
      <c r="J177" s="444">
        <v>2</v>
      </c>
      <c r="K177" s="444">
        <v>17</v>
      </c>
      <c r="L177" s="446"/>
      <c r="M177" s="446">
        <v>31</v>
      </c>
      <c r="N177" s="780"/>
      <c r="O177" s="442" t="s">
        <v>1837</v>
      </c>
      <c r="P177" s="444"/>
    </row>
    <row r="178" spans="1:16" s="293" customFormat="1" ht="20.100000000000001" customHeight="1">
      <c r="A178" s="447">
        <v>173</v>
      </c>
      <c r="B178" s="440" t="s">
        <v>895</v>
      </c>
      <c r="C178" s="441" t="s">
        <v>896</v>
      </c>
      <c r="D178" s="442" t="s">
        <v>451</v>
      </c>
      <c r="E178" s="442" t="s">
        <v>203</v>
      </c>
      <c r="F178" s="443">
        <v>45171</v>
      </c>
      <c r="G178" s="445">
        <v>31</v>
      </c>
      <c r="H178" s="444">
        <v>0</v>
      </c>
      <c r="I178" s="444">
        <v>4</v>
      </c>
      <c r="J178" s="444">
        <v>2</v>
      </c>
      <c r="K178" s="444">
        <v>25</v>
      </c>
      <c r="L178" s="446"/>
      <c r="M178" s="446">
        <v>31</v>
      </c>
      <c r="N178" s="780"/>
      <c r="O178" s="442" t="s">
        <v>1837</v>
      </c>
      <c r="P178" s="444"/>
    </row>
    <row r="179" spans="1:16" s="293" customFormat="1" ht="20.25" customHeight="1">
      <c r="A179" s="447">
        <v>174</v>
      </c>
      <c r="B179" s="440" t="s">
        <v>897</v>
      </c>
      <c r="C179" s="441" t="s">
        <v>898</v>
      </c>
      <c r="D179" s="442" t="s">
        <v>451</v>
      </c>
      <c r="E179" s="442" t="s">
        <v>203</v>
      </c>
      <c r="F179" s="443">
        <v>45171</v>
      </c>
      <c r="G179" s="445">
        <v>31</v>
      </c>
      <c r="H179" s="444">
        <v>0</v>
      </c>
      <c r="I179" s="444">
        <v>4</v>
      </c>
      <c r="J179" s="444">
        <v>2</v>
      </c>
      <c r="K179" s="444">
        <v>9</v>
      </c>
      <c r="L179" s="446">
        <v>16</v>
      </c>
      <c r="M179" s="446">
        <v>15</v>
      </c>
      <c r="N179" s="780"/>
      <c r="O179" s="442" t="s">
        <v>1837</v>
      </c>
      <c r="P179" s="444" t="s">
        <v>1664</v>
      </c>
    </row>
    <row r="180" spans="1:16" s="293" customFormat="1" ht="20.100000000000001" customHeight="1">
      <c r="A180" s="447">
        <v>175</v>
      </c>
      <c r="B180" s="440" t="s">
        <v>899</v>
      </c>
      <c r="C180" s="441" t="s">
        <v>900</v>
      </c>
      <c r="D180" s="442" t="s">
        <v>451</v>
      </c>
      <c r="E180" s="442" t="s">
        <v>203</v>
      </c>
      <c r="F180" s="443">
        <v>45171</v>
      </c>
      <c r="G180" s="445">
        <v>31</v>
      </c>
      <c r="H180" s="444">
        <v>0</v>
      </c>
      <c r="I180" s="444">
        <v>4</v>
      </c>
      <c r="J180" s="444">
        <v>2</v>
      </c>
      <c r="K180" s="444">
        <v>25</v>
      </c>
      <c r="L180" s="446"/>
      <c r="M180" s="446">
        <v>31</v>
      </c>
      <c r="N180" s="780"/>
      <c r="O180" s="442" t="s">
        <v>1837</v>
      </c>
      <c r="P180" s="444"/>
    </row>
    <row r="181" spans="1:16" s="293" customFormat="1" ht="20.100000000000001" customHeight="1">
      <c r="A181" s="447">
        <v>176</v>
      </c>
      <c r="B181" s="440" t="s">
        <v>901</v>
      </c>
      <c r="C181" s="441" t="s">
        <v>902</v>
      </c>
      <c r="D181" s="442" t="s">
        <v>451</v>
      </c>
      <c r="E181" s="442" t="s">
        <v>203</v>
      </c>
      <c r="F181" s="443">
        <v>45171</v>
      </c>
      <c r="G181" s="445">
        <v>31</v>
      </c>
      <c r="H181" s="444">
        <v>0</v>
      </c>
      <c r="I181" s="444">
        <v>4</v>
      </c>
      <c r="J181" s="444">
        <v>2</v>
      </c>
      <c r="K181" s="444">
        <v>25</v>
      </c>
      <c r="L181" s="446"/>
      <c r="M181" s="446">
        <v>31</v>
      </c>
      <c r="N181" s="780"/>
      <c r="O181" s="442" t="s">
        <v>1837</v>
      </c>
      <c r="P181" s="444"/>
    </row>
    <row r="182" spans="1:16" s="293" customFormat="1" ht="20.100000000000001" customHeight="1">
      <c r="A182" s="447">
        <v>177</v>
      </c>
      <c r="B182" s="440" t="s">
        <v>903</v>
      </c>
      <c r="C182" s="441" t="s">
        <v>904</v>
      </c>
      <c r="D182" s="442" t="s">
        <v>435</v>
      </c>
      <c r="E182" s="442" t="s">
        <v>97</v>
      </c>
      <c r="F182" s="443">
        <v>45181</v>
      </c>
      <c r="G182" s="445">
        <v>31</v>
      </c>
      <c r="H182" s="444">
        <v>0</v>
      </c>
      <c r="I182" s="444">
        <v>4</v>
      </c>
      <c r="J182" s="444">
        <v>2</v>
      </c>
      <c r="K182" s="444">
        <v>25</v>
      </c>
      <c r="L182" s="446"/>
      <c r="M182" s="446">
        <v>31</v>
      </c>
      <c r="N182" s="780"/>
      <c r="O182" s="442" t="s">
        <v>1837</v>
      </c>
      <c r="P182" s="444"/>
    </row>
    <row r="183" spans="1:16" s="293" customFormat="1" ht="20.100000000000001" customHeight="1">
      <c r="A183" s="447">
        <v>178</v>
      </c>
      <c r="B183" s="440" t="s">
        <v>905</v>
      </c>
      <c r="C183" s="441" t="s">
        <v>906</v>
      </c>
      <c r="D183" s="442" t="s">
        <v>907</v>
      </c>
      <c r="E183" s="442" t="s">
        <v>203</v>
      </c>
      <c r="F183" s="443">
        <v>45183</v>
      </c>
      <c r="G183" s="445">
        <v>31</v>
      </c>
      <c r="H183" s="444">
        <v>0</v>
      </c>
      <c r="I183" s="444">
        <v>4</v>
      </c>
      <c r="J183" s="444">
        <v>2</v>
      </c>
      <c r="K183" s="444">
        <v>25</v>
      </c>
      <c r="L183" s="446"/>
      <c r="M183" s="446">
        <v>31</v>
      </c>
      <c r="N183" s="780"/>
      <c r="O183" s="442" t="s">
        <v>1837</v>
      </c>
      <c r="P183" s="444"/>
    </row>
    <row r="184" spans="1:16" s="293" customFormat="1" ht="20.100000000000001" customHeight="1">
      <c r="A184" s="447">
        <v>179</v>
      </c>
      <c r="B184" s="440" t="s">
        <v>908</v>
      </c>
      <c r="C184" s="441" t="s">
        <v>909</v>
      </c>
      <c r="D184" s="442" t="s">
        <v>451</v>
      </c>
      <c r="E184" s="442" t="s">
        <v>203</v>
      </c>
      <c r="F184" s="443">
        <v>45183</v>
      </c>
      <c r="G184" s="445">
        <v>31</v>
      </c>
      <c r="H184" s="444">
        <v>0</v>
      </c>
      <c r="I184" s="444">
        <v>4</v>
      </c>
      <c r="J184" s="444">
        <v>2</v>
      </c>
      <c r="K184" s="444">
        <v>25</v>
      </c>
      <c r="L184" s="446"/>
      <c r="M184" s="446">
        <v>31</v>
      </c>
      <c r="N184" s="780"/>
      <c r="O184" s="442" t="s">
        <v>1837</v>
      </c>
      <c r="P184" s="444"/>
    </row>
    <row r="185" spans="1:16" s="293" customFormat="1" ht="20.100000000000001" customHeight="1">
      <c r="A185" s="447">
        <v>180</v>
      </c>
      <c r="B185" s="440" t="s">
        <v>910</v>
      </c>
      <c r="C185" s="441" t="s">
        <v>911</v>
      </c>
      <c r="D185" s="442" t="s">
        <v>435</v>
      </c>
      <c r="E185" s="442" t="s">
        <v>97</v>
      </c>
      <c r="F185" s="443">
        <v>45183</v>
      </c>
      <c r="G185" s="445">
        <v>31</v>
      </c>
      <c r="H185" s="444">
        <v>0</v>
      </c>
      <c r="I185" s="444">
        <v>4</v>
      </c>
      <c r="J185" s="444">
        <v>2</v>
      </c>
      <c r="K185" s="444">
        <v>25</v>
      </c>
      <c r="L185" s="446"/>
      <c r="M185" s="446">
        <v>31</v>
      </c>
      <c r="N185" s="780"/>
      <c r="O185" s="442" t="s">
        <v>1837</v>
      </c>
      <c r="P185" s="444"/>
    </row>
    <row r="186" spans="1:16" s="293" customFormat="1" ht="20.100000000000001" customHeight="1">
      <c r="A186" s="447">
        <v>181</v>
      </c>
      <c r="B186" s="440" t="s">
        <v>914</v>
      </c>
      <c r="C186" s="441" t="s">
        <v>915</v>
      </c>
      <c r="D186" s="442" t="s">
        <v>451</v>
      </c>
      <c r="E186" s="442" t="s">
        <v>517</v>
      </c>
      <c r="F186" s="443">
        <v>45185</v>
      </c>
      <c r="G186" s="445">
        <v>31</v>
      </c>
      <c r="H186" s="444">
        <v>0</v>
      </c>
      <c r="I186" s="444">
        <v>4</v>
      </c>
      <c r="J186" s="444">
        <v>2</v>
      </c>
      <c r="K186" s="444">
        <v>25</v>
      </c>
      <c r="L186" s="446"/>
      <c r="M186" s="446">
        <v>31</v>
      </c>
      <c r="N186" s="780"/>
      <c r="O186" s="442" t="s">
        <v>1837</v>
      </c>
      <c r="P186" s="444" t="s">
        <v>1813</v>
      </c>
    </row>
    <row r="187" spans="1:16" s="293" customFormat="1" ht="20.100000000000001" customHeight="1">
      <c r="A187" s="447">
        <v>182</v>
      </c>
      <c r="B187" s="440" t="s">
        <v>916</v>
      </c>
      <c r="C187" s="441" t="s">
        <v>917</v>
      </c>
      <c r="D187" s="442" t="s">
        <v>435</v>
      </c>
      <c r="E187" s="442" t="s">
        <v>97</v>
      </c>
      <c r="F187" s="443">
        <v>45185</v>
      </c>
      <c r="G187" s="445">
        <v>31</v>
      </c>
      <c r="H187" s="444">
        <v>0</v>
      </c>
      <c r="I187" s="444">
        <v>4</v>
      </c>
      <c r="J187" s="444">
        <v>2</v>
      </c>
      <c r="K187" s="444">
        <v>25</v>
      </c>
      <c r="L187" s="446"/>
      <c r="M187" s="446">
        <v>31</v>
      </c>
      <c r="N187" s="780"/>
      <c r="O187" s="442" t="s">
        <v>1837</v>
      </c>
      <c r="P187" s="444"/>
    </row>
    <row r="188" spans="1:16" s="293" customFormat="1" ht="20.100000000000001" customHeight="1">
      <c r="A188" s="447">
        <v>183</v>
      </c>
      <c r="B188" s="440" t="s">
        <v>918</v>
      </c>
      <c r="C188" s="441" t="s">
        <v>919</v>
      </c>
      <c r="D188" s="442" t="s">
        <v>435</v>
      </c>
      <c r="E188" s="442" t="s">
        <v>97</v>
      </c>
      <c r="F188" s="443">
        <v>45185</v>
      </c>
      <c r="G188" s="445">
        <v>31</v>
      </c>
      <c r="H188" s="444">
        <v>0</v>
      </c>
      <c r="I188" s="444">
        <v>4</v>
      </c>
      <c r="J188" s="444">
        <v>2</v>
      </c>
      <c r="K188" s="444">
        <v>25</v>
      </c>
      <c r="L188" s="446"/>
      <c r="M188" s="446">
        <v>31</v>
      </c>
      <c r="N188" s="780"/>
      <c r="O188" s="442" t="s">
        <v>1837</v>
      </c>
      <c r="P188" s="444"/>
    </row>
    <row r="189" spans="1:16" s="293" customFormat="1" ht="20.100000000000001" customHeight="1">
      <c r="A189" s="447">
        <v>184</v>
      </c>
      <c r="B189" s="440" t="s">
        <v>920</v>
      </c>
      <c r="C189" s="441" t="s">
        <v>921</v>
      </c>
      <c r="D189" s="442" t="s">
        <v>435</v>
      </c>
      <c r="E189" s="442" t="s">
        <v>97</v>
      </c>
      <c r="F189" s="443">
        <v>45185</v>
      </c>
      <c r="G189" s="445">
        <v>31</v>
      </c>
      <c r="H189" s="444">
        <v>0</v>
      </c>
      <c r="I189" s="444">
        <v>4</v>
      </c>
      <c r="J189" s="444">
        <v>2</v>
      </c>
      <c r="K189" s="444">
        <v>-3</v>
      </c>
      <c r="L189" s="446">
        <v>28</v>
      </c>
      <c r="M189" s="446">
        <v>3</v>
      </c>
      <c r="N189" s="780"/>
      <c r="O189" s="442" t="s">
        <v>1837</v>
      </c>
      <c r="P189" s="444" t="s">
        <v>1664</v>
      </c>
    </row>
    <row r="190" spans="1:16" s="293" customFormat="1" ht="20.100000000000001" customHeight="1">
      <c r="A190" s="447">
        <v>185</v>
      </c>
      <c r="B190" s="440" t="s">
        <v>922</v>
      </c>
      <c r="C190" s="441" t="s">
        <v>923</v>
      </c>
      <c r="D190" s="442" t="s">
        <v>1209</v>
      </c>
      <c r="E190" s="442" t="s">
        <v>137</v>
      </c>
      <c r="F190" s="443">
        <v>45193</v>
      </c>
      <c r="G190" s="445">
        <v>31</v>
      </c>
      <c r="H190" s="444">
        <v>0</v>
      </c>
      <c r="I190" s="444">
        <v>4</v>
      </c>
      <c r="J190" s="444">
        <v>2</v>
      </c>
      <c r="K190" s="444">
        <v>25</v>
      </c>
      <c r="L190" s="446"/>
      <c r="M190" s="446">
        <v>31</v>
      </c>
      <c r="N190" s="780"/>
      <c r="O190" s="442" t="s">
        <v>1837</v>
      </c>
      <c r="P190" s="444"/>
    </row>
    <row r="191" spans="1:16" s="293" customFormat="1" ht="20.100000000000001" customHeight="1">
      <c r="A191" s="447">
        <v>186</v>
      </c>
      <c r="B191" s="440" t="s">
        <v>924</v>
      </c>
      <c r="C191" s="441" t="s">
        <v>925</v>
      </c>
      <c r="D191" s="442" t="s">
        <v>452</v>
      </c>
      <c r="E191" s="442" t="s">
        <v>203</v>
      </c>
      <c r="F191" s="443">
        <v>45192</v>
      </c>
      <c r="G191" s="445">
        <v>31</v>
      </c>
      <c r="H191" s="444">
        <v>0</v>
      </c>
      <c r="I191" s="444">
        <v>4</v>
      </c>
      <c r="J191" s="444">
        <v>2</v>
      </c>
      <c r="K191" s="444">
        <v>25</v>
      </c>
      <c r="L191" s="446"/>
      <c r="M191" s="446">
        <v>31</v>
      </c>
      <c r="N191" s="780"/>
      <c r="O191" s="442" t="s">
        <v>1837</v>
      </c>
      <c r="P191" s="444"/>
    </row>
    <row r="192" spans="1:16" s="293" customFormat="1" ht="20.100000000000001" customHeight="1">
      <c r="A192" s="447">
        <v>187</v>
      </c>
      <c r="B192" s="440" t="s">
        <v>926</v>
      </c>
      <c r="C192" s="441" t="s">
        <v>927</v>
      </c>
      <c r="D192" s="442" t="s">
        <v>928</v>
      </c>
      <c r="E192" s="442" t="s">
        <v>203</v>
      </c>
      <c r="F192" s="443">
        <v>45194</v>
      </c>
      <c r="G192" s="445">
        <v>31</v>
      </c>
      <c r="H192" s="444">
        <v>0</v>
      </c>
      <c r="I192" s="444">
        <v>4</v>
      </c>
      <c r="J192" s="444">
        <v>2</v>
      </c>
      <c r="K192" s="444">
        <v>25</v>
      </c>
      <c r="L192" s="446"/>
      <c r="M192" s="446">
        <v>31</v>
      </c>
      <c r="N192" s="780"/>
      <c r="O192" s="442" t="s">
        <v>1837</v>
      </c>
      <c r="P192" s="444"/>
    </row>
    <row r="193" spans="1:16" s="293" customFormat="1" ht="20.100000000000001" customHeight="1">
      <c r="A193" s="447">
        <v>188</v>
      </c>
      <c r="B193" s="440" t="s">
        <v>952</v>
      </c>
      <c r="C193" s="441" t="s">
        <v>953</v>
      </c>
      <c r="D193" s="442" t="s">
        <v>452</v>
      </c>
      <c r="E193" s="442" t="s">
        <v>203</v>
      </c>
      <c r="F193" s="443">
        <v>45206</v>
      </c>
      <c r="G193" s="445">
        <v>31</v>
      </c>
      <c r="H193" s="444">
        <v>0</v>
      </c>
      <c r="I193" s="444">
        <v>4</v>
      </c>
      <c r="J193" s="444">
        <v>2</v>
      </c>
      <c r="K193" s="444">
        <v>25</v>
      </c>
      <c r="L193" s="446"/>
      <c r="M193" s="446">
        <v>31</v>
      </c>
      <c r="N193" s="780"/>
      <c r="O193" s="442" t="s">
        <v>1837</v>
      </c>
      <c r="P193" s="444"/>
    </row>
    <row r="194" spans="1:16" s="293" customFormat="1" ht="20.100000000000001" customHeight="1">
      <c r="A194" s="447">
        <v>189</v>
      </c>
      <c r="B194" s="440" t="s">
        <v>929</v>
      </c>
      <c r="C194" s="441" t="s">
        <v>930</v>
      </c>
      <c r="D194" s="442" t="s">
        <v>452</v>
      </c>
      <c r="E194" s="442" t="s">
        <v>203</v>
      </c>
      <c r="F194" s="443">
        <v>45199</v>
      </c>
      <c r="G194" s="445">
        <v>31</v>
      </c>
      <c r="H194" s="444">
        <v>0</v>
      </c>
      <c r="I194" s="444">
        <v>4</v>
      </c>
      <c r="J194" s="444">
        <v>2</v>
      </c>
      <c r="K194" s="444">
        <v>25</v>
      </c>
      <c r="L194" s="446"/>
      <c r="M194" s="446">
        <v>31</v>
      </c>
      <c r="N194" s="780"/>
      <c r="O194" s="442" t="s">
        <v>1837</v>
      </c>
      <c r="P194" s="444"/>
    </row>
    <row r="195" spans="1:16" s="293" customFormat="1" ht="20.100000000000001" customHeight="1">
      <c r="A195" s="447">
        <v>190</v>
      </c>
      <c r="B195" s="440" t="s">
        <v>931</v>
      </c>
      <c r="C195" s="441" t="s">
        <v>932</v>
      </c>
      <c r="D195" s="442" t="s">
        <v>435</v>
      </c>
      <c r="E195" s="442" t="s">
        <v>97</v>
      </c>
      <c r="F195" s="443">
        <v>45197</v>
      </c>
      <c r="G195" s="445">
        <v>31</v>
      </c>
      <c r="H195" s="444">
        <v>0</v>
      </c>
      <c r="I195" s="444">
        <v>4</v>
      </c>
      <c r="J195" s="444">
        <v>2</v>
      </c>
      <c r="K195" s="444">
        <v>25</v>
      </c>
      <c r="L195" s="446"/>
      <c r="M195" s="446">
        <v>31</v>
      </c>
      <c r="N195" s="780"/>
      <c r="O195" s="442" t="s">
        <v>1837</v>
      </c>
      <c r="P195" s="444"/>
    </row>
    <row r="196" spans="1:16" s="293" customFormat="1" ht="20.100000000000001" customHeight="1">
      <c r="A196" s="447">
        <v>191</v>
      </c>
      <c r="B196" s="440" t="s">
        <v>955</v>
      </c>
      <c r="C196" s="441" t="s">
        <v>956</v>
      </c>
      <c r="D196" s="442" t="s">
        <v>928</v>
      </c>
      <c r="E196" s="442" t="s">
        <v>203</v>
      </c>
      <c r="F196" s="443">
        <v>45213</v>
      </c>
      <c r="G196" s="445">
        <v>31</v>
      </c>
      <c r="H196" s="444">
        <v>0</v>
      </c>
      <c r="I196" s="444">
        <v>4</v>
      </c>
      <c r="J196" s="444">
        <v>2</v>
      </c>
      <c r="K196" s="444">
        <v>25</v>
      </c>
      <c r="L196" s="446"/>
      <c r="M196" s="446">
        <v>31</v>
      </c>
      <c r="N196" s="780"/>
      <c r="O196" s="442" t="s">
        <v>1837</v>
      </c>
      <c r="P196" s="444"/>
    </row>
    <row r="197" spans="1:16" s="293" customFormat="1" ht="20.100000000000001" customHeight="1">
      <c r="A197" s="447">
        <v>192</v>
      </c>
      <c r="B197" s="440" t="s">
        <v>957</v>
      </c>
      <c r="C197" s="441" t="s">
        <v>958</v>
      </c>
      <c r="D197" s="442" t="s">
        <v>954</v>
      </c>
      <c r="E197" s="442" t="s">
        <v>347</v>
      </c>
      <c r="F197" s="443">
        <v>45206</v>
      </c>
      <c r="G197" s="445">
        <v>31</v>
      </c>
      <c r="H197" s="444">
        <v>1</v>
      </c>
      <c r="I197" s="444">
        <v>4</v>
      </c>
      <c r="J197" s="444">
        <v>2</v>
      </c>
      <c r="K197" s="444">
        <v>24</v>
      </c>
      <c r="L197" s="446"/>
      <c r="M197" s="446">
        <v>31</v>
      </c>
      <c r="N197" s="780"/>
      <c r="O197" s="442" t="s">
        <v>1837</v>
      </c>
      <c r="P197" s="444"/>
    </row>
    <row r="198" spans="1:16" s="293" customFormat="1" ht="20.100000000000001" customHeight="1">
      <c r="A198" s="447">
        <v>193</v>
      </c>
      <c r="B198" s="440" t="s">
        <v>960</v>
      </c>
      <c r="C198" s="441" t="s">
        <v>961</v>
      </c>
      <c r="D198" s="442" t="s">
        <v>435</v>
      </c>
      <c r="E198" s="442" t="s">
        <v>97</v>
      </c>
      <c r="F198" s="443">
        <v>45216</v>
      </c>
      <c r="G198" s="445">
        <v>31</v>
      </c>
      <c r="H198" s="444">
        <v>2</v>
      </c>
      <c r="I198" s="444">
        <v>4</v>
      </c>
      <c r="J198" s="444">
        <v>2</v>
      </c>
      <c r="K198" s="444">
        <v>23</v>
      </c>
      <c r="L198" s="446"/>
      <c r="M198" s="446">
        <v>31</v>
      </c>
      <c r="N198" s="780"/>
      <c r="O198" s="442" t="s">
        <v>1837</v>
      </c>
      <c r="P198" s="444"/>
    </row>
    <row r="199" spans="1:16" s="293" customFormat="1" ht="20.100000000000001" customHeight="1">
      <c r="A199" s="447">
        <v>194</v>
      </c>
      <c r="B199" s="440" t="s">
        <v>962</v>
      </c>
      <c r="C199" s="441" t="s">
        <v>963</v>
      </c>
      <c r="D199" s="442" t="s">
        <v>435</v>
      </c>
      <c r="E199" s="442" t="s">
        <v>97</v>
      </c>
      <c r="F199" s="443">
        <v>45213</v>
      </c>
      <c r="G199" s="445">
        <v>31</v>
      </c>
      <c r="H199" s="444">
        <v>0</v>
      </c>
      <c r="I199" s="444">
        <v>4</v>
      </c>
      <c r="J199" s="444">
        <v>2</v>
      </c>
      <c r="K199" s="444">
        <v>22</v>
      </c>
      <c r="L199" s="446">
        <v>3</v>
      </c>
      <c r="M199" s="446">
        <v>28</v>
      </c>
      <c r="N199" s="780"/>
      <c r="O199" s="442" t="s">
        <v>1837</v>
      </c>
      <c r="P199" s="444"/>
    </row>
    <row r="200" spans="1:16" s="293" customFormat="1" ht="20.100000000000001" customHeight="1">
      <c r="A200" s="447">
        <v>195</v>
      </c>
      <c r="B200" s="440" t="s">
        <v>964</v>
      </c>
      <c r="C200" s="441" t="s">
        <v>965</v>
      </c>
      <c r="D200" s="442" t="s">
        <v>435</v>
      </c>
      <c r="E200" s="442" t="s">
        <v>97</v>
      </c>
      <c r="F200" s="443">
        <v>45213</v>
      </c>
      <c r="G200" s="445">
        <v>31</v>
      </c>
      <c r="H200" s="444">
        <v>0</v>
      </c>
      <c r="I200" s="444">
        <v>4</v>
      </c>
      <c r="J200" s="444">
        <v>2</v>
      </c>
      <c r="K200" s="444">
        <v>25</v>
      </c>
      <c r="L200" s="446"/>
      <c r="M200" s="446">
        <v>31</v>
      </c>
      <c r="N200" s="780"/>
      <c r="O200" s="442" t="s">
        <v>1837</v>
      </c>
      <c r="P200" s="444"/>
    </row>
    <row r="201" spans="1:16" s="293" customFormat="1" ht="20.100000000000001" customHeight="1">
      <c r="A201" s="447">
        <v>196</v>
      </c>
      <c r="B201" s="440" t="s">
        <v>1069</v>
      </c>
      <c r="C201" s="441" t="s">
        <v>1070</v>
      </c>
      <c r="D201" s="442" t="s">
        <v>890</v>
      </c>
      <c r="E201" s="442" t="s">
        <v>203</v>
      </c>
      <c r="F201" s="443">
        <v>45231</v>
      </c>
      <c r="G201" s="445">
        <v>31</v>
      </c>
      <c r="H201" s="444">
        <v>0</v>
      </c>
      <c r="I201" s="444">
        <v>4</v>
      </c>
      <c r="J201" s="444">
        <v>2</v>
      </c>
      <c r="K201" s="444">
        <v>25</v>
      </c>
      <c r="L201" s="446"/>
      <c r="M201" s="446">
        <v>31</v>
      </c>
      <c r="N201" s="780"/>
      <c r="O201" s="442" t="s">
        <v>1837</v>
      </c>
      <c r="P201" s="444"/>
    </row>
    <row r="202" spans="1:16" s="293" customFormat="1" ht="20.100000000000001" customHeight="1">
      <c r="A202" s="447">
        <v>197</v>
      </c>
      <c r="B202" s="440" t="s">
        <v>1364</v>
      </c>
      <c r="C202" s="441" t="s">
        <v>1365</v>
      </c>
      <c r="D202" s="442" t="s">
        <v>489</v>
      </c>
      <c r="E202" s="442" t="s">
        <v>203</v>
      </c>
      <c r="F202" s="443">
        <v>45234</v>
      </c>
      <c r="G202" s="445">
        <v>31</v>
      </c>
      <c r="H202" s="444">
        <v>0</v>
      </c>
      <c r="I202" s="444">
        <v>4</v>
      </c>
      <c r="J202" s="444">
        <v>2</v>
      </c>
      <c r="K202" s="444">
        <v>25</v>
      </c>
      <c r="L202" s="446"/>
      <c r="M202" s="446">
        <v>31</v>
      </c>
      <c r="N202" s="780"/>
      <c r="O202" s="442" t="s">
        <v>1837</v>
      </c>
      <c r="P202" s="444"/>
    </row>
    <row r="203" spans="1:16" s="293" customFormat="1" ht="20.100000000000001" customHeight="1">
      <c r="A203" s="447">
        <v>198</v>
      </c>
      <c r="B203" s="440" t="s">
        <v>1073</v>
      </c>
      <c r="C203" s="441" t="s">
        <v>1074</v>
      </c>
      <c r="D203" s="442" t="s">
        <v>928</v>
      </c>
      <c r="E203" s="442" t="s">
        <v>203</v>
      </c>
      <c r="F203" s="443">
        <v>45231</v>
      </c>
      <c r="G203" s="445">
        <v>31</v>
      </c>
      <c r="H203" s="444">
        <v>0</v>
      </c>
      <c r="I203" s="444">
        <v>4</v>
      </c>
      <c r="J203" s="444">
        <v>2</v>
      </c>
      <c r="K203" s="444">
        <v>25</v>
      </c>
      <c r="L203" s="446"/>
      <c r="M203" s="446">
        <v>31</v>
      </c>
      <c r="N203" s="780"/>
      <c r="O203" s="442" t="s">
        <v>1837</v>
      </c>
      <c r="P203" s="444"/>
    </row>
    <row r="204" spans="1:16" s="293" customFormat="1" ht="20.100000000000001" customHeight="1">
      <c r="A204" s="447">
        <v>199</v>
      </c>
      <c r="B204" s="440" t="s">
        <v>1075</v>
      </c>
      <c r="C204" s="441" t="s">
        <v>1076</v>
      </c>
      <c r="D204" s="442" t="s">
        <v>1077</v>
      </c>
      <c r="E204" s="442" t="s">
        <v>203</v>
      </c>
      <c r="F204" s="443">
        <v>45245</v>
      </c>
      <c r="G204" s="445">
        <v>31</v>
      </c>
      <c r="H204" s="444">
        <v>0</v>
      </c>
      <c r="I204" s="444">
        <v>4</v>
      </c>
      <c r="J204" s="444">
        <v>2</v>
      </c>
      <c r="K204" s="444">
        <v>25</v>
      </c>
      <c r="L204" s="446"/>
      <c r="M204" s="446">
        <v>31</v>
      </c>
      <c r="N204" s="780"/>
      <c r="O204" s="442" t="s">
        <v>1837</v>
      </c>
      <c r="P204" s="444"/>
    </row>
    <row r="205" spans="1:16" s="293" customFormat="1" ht="20.100000000000001" customHeight="1">
      <c r="A205" s="447">
        <v>200</v>
      </c>
      <c r="B205" s="440" t="s">
        <v>1078</v>
      </c>
      <c r="C205" s="441" t="s">
        <v>1079</v>
      </c>
      <c r="D205" s="442" t="s">
        <v>604</v>
      </c>
      <c r="E205" s="442" t="s">
        <v>1080</v>
      </c>
      <c r="F205" s="443">
        <v>45241</v>
      </c>
      <c r="G205" s="445">
        <v>31</v>
      </c>
      <c r="H205" s="444">
        <v>0</v>
      </c>
      <c r="I205" s="444">
        <v>4</v>
      </c>
      <c r="J205" s="444">
        <v>2</v>
      </c>
      <c r="K205" s="444">
        <v>25</v>
      </c>
      <c r="L205" s="446"/>
      <c r="M205" s="446">
        <v>31</v>
      </c>
      <c r="N205" s="780"/>
      <c r="O205" s="442" t="s">
        <v>1837</v>
      </c>
      <c r="P205" s="444"/>
    </row>
    <row r="206" spans="1:16" s="293" customFormat="1" ht="20.100000000000001" customHeight="1">
      <c r="A206" s="447">
        <v>201</v>
      </c>
      <c r="B206" s="440" t="s">
        <v>1081</v>
      </c>
      <c r="C206" s="441" t="s">
        <v>1082</v>
      </c>
      <c r="D206" s="442" t="s">
        <v>452</v>
      </c>
      <c r="E206" s="442" t="s">
        <v>292</v>
      </c>
      <c r="F206" s="443">
        <v>45241</v>
      </c>
      <c r="G206" s="445">
        <v>31</v>
      </c>
      <c r="H206" s="444">
        <v>0</v>
      </c>
      <c r="I206" s="444">
        <v>4</v>
      </c>
      <c r="J206" s="444">
        <v>2</v>
      </c>
      <c r="K206" s="444">
        <v>25</v>
      </c>
      <c r="L206" s="446"/>
      <c r="M206" s="446">
        <v>31</v>
      </c>
      <c r="N206" s="780"/>
      <c r="O206" s="442" t="s">
        <v>1837</v>
      </c>
      <c r="P206" s="444"/>
    </row>
    <row r="207" spans="1:16" s="293" customFormat="1" ht="20.100000000000001" customHeight="1">
      <c r="A207" s="447">
        <v>202</v>
      </c>
      <c r="B207" s="440" t="s">
        <v>1083</v>
      </c>
      <c r="C207" s="441" t="s">
        <v>1084</v>
      </c>
      <c r="D207" s="442" t="s">
        <v>435</v>
      </c>
      <c r="E207" s="442" t="s">
        <v>97</v>
      </c>
      <c r="F207" s="443">
        <v>45234</v>
      </c>
      <c r="G207" s="445">
        <v>31</v>
      </c>
      <c r="H207" s="444">
        <v>0</v>
      </c>
      <c r="I207" s="444">
        <v>4</v>
      </c>
      <c r="J207" s="444">
        <v>2</v>
      </c>
      <c r="K207" s="444">
        <v>25</v>
      </c>
      <c r="L207" s="446"/>
      <c r="M207" s="446">
        <v>31</v>
      </c>
      <c r="N207" s="780"/>
      <c r="O207" s="442" t="s">
        <v>1837</v>
      </c>
      <c r="P207" s="444"/>
    </row>
    <row r="208" spans="1:16" s="293" customFormat="1" ht="20.100000000000001" customHeight="1">
      <c r="A208" s="447">
        <v>203</v>
      </c>
      <c r="B208" s="440" t="s">
        <v>1087</v>
      </c>
      <c r="C208" s="441" t="s">
        <v>1088</v>
      </c>
      <c r="D208" s="442" t="s">
        <v>480</v>
      </c>
      <c r="E208" s="442" t="s">
        <v>97</v>
      </c>
      <c r="F208" s="443">
        <v>45245</v>
      </c>
      <c r="G208" s="445">
        <v>31</v>
      </c>
      <c r="H208" s="444">
        <v>1</v>
      </c>
      <c r="I208" s="444">
        <v>4</v>
      </c>
      <c r="J208" s="444">
        <v>2</v>
      </c>
      <c r="K208" s="444">
        <v>24</v>
      </c>
      <c r="L208" s="446"/>
      <c r="M208" s="446">
        <v>31</v>
      </c>
      <c r="N208" s="780"/>
      <c r="O208" s="442" t="s">
        <v>1837</v>
      </c>
      <c r="P208" s="444"/>
    </row>
    <row r="209" spans="1:16" s="293" customFormat="1" ht="20.100000000000001" customHeight="1">
      <c r="A209" s="447">
        <v>204</v>
      </c>
      <c r="B209" s="440" t="s">
        <v>1089</v>
      </c>
      <c r="C209" s="441" t="s">
        <v>861</v>
      </c>
      <c r="D209" s="442" t="s">
        <v>435</v>
      </c>
      <c r="E209" s="442" t="s">
        <v>97</v>
      </c>
      <c r="F209" s="443">
        <v>45245</v>
      </c>
      <c r="G209" s="445">
        <v>31</v>
      </c>
      <c r="H209" s="444">
        <v>7</v>
      </c>
      <c r="I209" s="444">
        <v>4</v>
      </c>
      <c r="J209" s="444">
        <v>2</v>
      </c>
      <c r="K209" s="444">
        <v>18</v>
      </c>
      <c r="L209" s="446"/>
      <c r="M209" s="446">
        <v>31</v>
      </c>
      <c r="N209" s="780"/>
      <c r="O209" s="442" t="s">
        <v>1837</v>
      </c>
      <c r="P209" s="444"/>
    </row>
    <row r="210" spans="1:16" s="293" customFormat="1" ht="20.100000000000001" customHeight="1">
      <c r="A210" s="447">
        <v>205</v>
      </c>
      <c r="B210" s="440" t="s">
        <v>1090</v>
      </c>
      <c r="C210" s="441" t="s">
        <v>1091</v>
      </c>
      <c r="D210" s="442" t="s">
        <v>913</v>
      </c>
      <c r="E210" s="442" t="s">
        <v>203</v>
      </c>
      <c r="F210" s="443">
        <v>45250</v>
      </c>
      <c r="G210" s="445">
        <v>31</v>
      </c>
      <c r="H210" s="444">
        <v>0</v>
      </c>
      <c r="I210" s="444">
        <v>4</v>
      </c>
      <c r="J210" s="444">
        <v>2</v>
      </c>
      <c r="K210" s="444">
        <v>25</v>
      </c>
      <c r="L210" s="446"/>
      <c r="M210" s="446">
        <v>31</v>
      </c>
      <c r="N210" s="780"/>
      <c r="O210" s="442" t="s">
        <v>1837</v>
      </c>
      <c r="P210" s="444"/>
    </row>
    <row r="211" spans="1:16" s="293" customFormat="1" ht="20.100000000000001" customHeight="1">
      <c r="A211" s="447">
        <v>206</v>
      </c>
      <c r="B211" s="440" t="s">
        <v>1109</v>
      </c>
      <c r="C211" s="441" t="s">
        <v>1110</v>
      </c>
      <c r="D211" s="442" t="s">
        <v>453</v>
      </c>
      <c r="E211" s="442" t="s">
        <v>1111</v>
      </c>
      <c r="F211" s="443">
        <v>45262</v>
      </c>
      <c r="G211" s="445">
        <v>31</v>
      </c>
      <c r="H211" s="444">
        <v>0</v>
      </c>
      <c r="I211" s="444">
        <v>4</v>
      </c>
      <c r="J211" s="444">
        <v>2</v>
      </c>
      <c r="K211" s="444">
        <v>25</v>
      </c>
      <c r="L211" s="446"/>
      <c r="M211" s="446">
        <v>31</v>
      </c>
      <c r="N211" s="780"/>
      <c r="O211" s="442" t="s">
        <v>1837</v>
      </c>
      <c r="P211" s="444"/>
    </row>
    <row r="212" spans="1:16" s="293" customFormat="1" ht="20.100000000000001" customHeight="1">
      <c r="A212" s="447">
        <v>207</v>
      </c>
      <c r="B212" s="440" t="s">
        <v>1112</v>
      </c>
      <c r="C212" s="441" t="s">
        <v>1113</v>
      </c>
      <c r="D212" s="442" t="s">
        <v>604</v>
      </c>
      <c r="E212" s="442" t="s">
        <v>203</v>
      </c>
      <c r="F212" s="443">
        <v>45262</v>
      </c>
      <c r="G212" s="445">
        <v>31</v>
      </c>
      <c r="H212" s="444">
        <v>0</v>
      </c>
      <c r="I212" s="444">
        <v>4</v>
      </c>
      <c r="J212" s="444">
        <v>2</v>
      </c>
      <c r="K212" s="444">
        <v>25</v>
      </c>
      <c r="L212" s="446"/>
      <c r="M212" s="446">
        <v>31</v>
      </c>
      <c r="N212" s="780"/>
      <c r="O212" s="442" t="s">
        <v>1837</v>
      </c>
      <c r="P212" s="444"/>
    </row>
    <row r="213" spans="1:16" s="293" customFormat="1" ht="20.100000000000001" customHeight="1">
      <c r="A213" s="447">
        <v>208</v>
      </c>
      <c r="B213" s="440" t="s">
        <v>1114</v>
      </c>
      <c r="C213" s="441" t="s">
        <v>898</v>
      </c>
      <c r="D213" s="442" t="s">
        <v>435</v>
      </c>
      <c r="E213" s="442" t="s">
        <v>97</v>
      </c>
      <c r="F213" s="443">
        <v>45262</v>
      </c>
      <c r="G213" s="445">
        <v>31</v>
      </c>
      <c r="H213" s="444">
        <v>0</v>
      </c>
      <c r="I213" s="444">
        <v>4</v>
      </c>
      <c r="J213" s="444">
        <v>2</v>
      </c>
      <c r="K213" s="444">
        <v>25</v>
      </c>
      <c r="L213" s="446"/>
      <c r="M213" s="446">
        <v>31</v>
      </c>
      <c r="N213" s="780"/>
      <c r="O213" s="442" t="s">
        <v>1837</v>
      </c>
      <c r="P213" s="444"/>
    </row>
    <row r="214" spans="1:16" s="293" customFormat="1" ht="20.100000000000001" customHeight="1">
      <c r="A214" s="447">
        <v>209</v>
      </c>
      <c r="B214" s="440" t="s">
        <v>1115</v>
      </c>
      <c r="C214" s="441" t="s">
        <v>1116</v>
      </c>
      <c r="D214" s="442" t="s">
        <v>453</v>
      </c>
      <c r="E214" s="442" t="s">
        <v>1111</v>
      </c>
      <c r="F214" s="443">
        <v>45265</v>
      </c>
      <c r="G214" s="445">
        <v>31</v>
      </c>
      <c r="H214" s="444">
        <v>0</v>
      </c>
      <c r="I214" s="444">
        <v>4</v>
      </c>
      <c r="J214" s="444">
        <v>2</v>
      </c>
      <c r="K214" s="444">
        <v>25</v>
      </c>
      <c r="L214" s="446"/>
      <c r="M214" s="446">
        <v>31</v>
      </c>
      <c r="N214" s="780"/>
      <c r="O214" s="442" t="s">
        <v>1837</v>
      </c>
      <c r="P214" s="444"/>
    </row>
    <row r="215" spans="1:16" s="293" customFormat="1" ht="24" customHeight="1">
      <c r="A215" s="447">
        <v>210</v>
      </c>
      <c r="B215" s="440" t="s">
        <v>1117</v>
      </c>
      <c r="C215" s="441" t="s">
        <v>1118</v>
      </c>
      <c r="D215" s="442" t="s">
        <v>1119</v>
      </c>
      <c r="E215" s="442" t="s">
        <v>97</v>
      </c>
      <c r="F215" s="443">
        <v>45265</v>
      </c>
      <c r="G215" s="445">
        <v>31</v>
      </c>
      <c r="H215" s="444">
        <v>0</v>
      </c>
      <c r="I215" s="444">
        <v>4</v>
      </c>
      <c r="J215" s="444">
        <v>2</v>
      </c>
      <c r="K215" s="444">
        <v>25</v>
      </c>
      <c r="L215" s="446"/>
      <c r="M215" s="446">
        <v>31</v>
      </c>
      <c r="N215" s="780"/>
      <c r="O215" s="442" t="s">
        <v>1837</v>
      </c>
      <c r="P215" s="444"/>
    </row>
    <row r="216" spans="1:16" s="293" customFormat="1" ht="20.100000000000001" customHeight="1">
      <c r="A216" s="447">
        <v>211</v>
      </c>
      <c r="B216" s="440" t="s">
        <v>1120</v>
      </c>
      <c r="C216" s="441" t="s">
        <v>1814</v>
      </c>
      <c r="D216" s="442" t="s">
        <v>1121</v>
      </c>
      <c r="E216" s="442" t="s">
        <v>705</v>
      </c>
      <c r="F216" s="443">
        <v>45231</v>
      </c>
      <c r="G216" s="445">
        <v>31</v>
      </c>
      <c r="H216" s="444">
        <v>0</v>
      </c>
      <c r="I216" s="444">
        <v>4</v>
      </c>
      <c r="J216" s="444">
        <v>2</v>
      </c>
      <c r="K216" s="444">
        <v>25</v>
      </c>
      <c r="L216" s="446"/>
      <c r="M216" s="446">
        <v>31</v>
      </c>
      <c r="N216" s="780"/>
      <c r="O216" s="442" t="s">
        <v>1837</v>
      </c>
      <c r="P216" s="444"/>
    </row>
    <row r="217" spans="1:16" s="293" customFormat="1" ht="20.100000000000001" customHeight="1">
      <c r="A217" s="447">
        <v>212</v>
      </c>
      <c r="B217" s="440" t="s">
        <v>1130</v>
      </c>
      <c r="C217" s="441" t="s">
        <v>1840</v>
      </c>
      <c r="D217" s="442" t="s">
        <v>647</v>
      </c>
      <c r="E217" s="442" t="s">
        <v>1111</v>
      </c>
      <c r="F217" s="443">
        <v>45292</v>
      </c>
      <c r="G217" s="445">
        <v>31</v>
      </c>
      <c r="H217" s="444">
        <v>0</v>
      </c>
      <c r="I217" s="444">
        <v>4</v>
      </c>
      <c r="J217" s="444">
        <v>2</v>
      </c>
      <c r="K217" s="444">
        <v>25</v>
      </c>
      <c r="L217" s="446"/>
      <c r="M217" s="446">
        <v>31</v>
      </c>
      <c r="N217" s="780"/>
      <c r="O217" s="442" t="s">
        <v>1837</v>
      </c>
      <c r="P217" s="444"/>
    </row>
    <row r="218" spans="1:16" s="293" customFormat="1">
      <c r="A218" s="447">
        <v>213</v>
      </c>
      <c r="B218" s="440" t="s">
        <v>1132</v>
      </c>
      <c r="C218" s="441" t="s">
        <v>1133</v>
      </c>
      <c r="D218" s="442" t="s">
        <v>435</v>
      </c>
      <c r="E218" s="442" t="s">
        <v>97</v>
      </c>
      <c r="F218" s="443">
        <v>45304</v>
      </c>
      <c r="G218" s="445">
        <v>31</v>
      </c>
      <c r="H218" s="444">
        <v>0</v>
      </c>
      <c r="I218" s="444">
        <v>4</v>
      </c>
      <c r="J218" s="444">
        <v>2</v>
      </c>
      <c r="K218" s="444">
        <v>25</v>
      </c>
      <c r="L218" s="446"/>
      <c r="M218" s="446">
        <v>31</v>
      </c>
      <c r="N218" s="780"/>
      <c r="O218" s="442" t="s">
        <v>1837</v>
      </c>
      <c r="P218" s="444"/>
    </row>
    <row r="219" spans="1:16" s="293" customFormat="1" ht="20.100000000000001" customHeight="1">
      <c r="A219" s="447">
        <v>214</v>
      </c>
      <c r="B219" s="440" t="s">
        <v>1134</v>
      </c>
      <c r="C219" s="441" t="s">
        <v>1135</v>
      </c>
      <c r="D219" s="442" t="s">
        <v>928</v>
      </c>
      <c r="E219" s="442" t="s">
        <v>1111</v>
      </c>
      <c r="F219" s="443">
        <v>45299</v>
      </c>
      <c r="G219" s="445">
        <v>31</v>
      </c>
      <c r="H219" s="444">
        <v>0</v>
      </c>
      <c r="I219" s="444">
        <v>4</v>
      </c>
      <c r="J219" s="444">
        <v>2</v>
      </c>
      <c r="K219" s="444">
        <v>25</v>
      </c>
      <c r="L219" s="446"/>
      <c r="M219" s="446">
        <v>31</v>
      </c>
      <c r="N219" s="780"/>
      <c r="O219" s="442" t="s">
        <v>1837</v>
      </c>
      <c r="P219" s="444"/>
    </row>
    <row r="220" spans="1:16" s="293" customFormat="1" ht="20.100000000000001" customHeight="1">
      <c r="A220" s="447">
        <v>215</v>
      </c>
      <c r="B220" s="440" t="s">
        <v>1136</v>
      </c>
      <c r="C220" s="441" t="s">
        <v>990</v>
      </c>
      <c r="D220" s="442" t="s">
        <v>542</v>
      </c>
      <c r="E220" s="442" t="s">
        <v>1111</v>
      </c>
      <c r="F220" s="443">
        <v>45299</v>
      </c>
      <c r="G220" s="445">
        <v>31</v>
      </c>
      <c r="H220" s="444">
        <v>0</v>
      </c>
      <c r="I220" s="444">
        <v>4</v>
      </c>
      <c r="J220" s="444">
        <v>2</v>
      </c>
      <c r="K220" s="444">
        <v>25</v>
      </c>
      <c r="L220" s="446"/>
      <c r="M220" s="446">
        <v>31</v>
      </c>
      <c r="N220" s="780"/>
      <c r="O220" s="442" t="s">
        <v>1837</v>
      </c>
      <c r="P220" s="444"/>
    </row>
    <row r="221" spans="1:16" s="293" customFormat="1" ht="20.100000000000001" customHeight="1">
      <c r="A221" s="447">
        <v>216</v>
      </c>
      <c r="B221" s="440" t="s">
        <v>1137</v>
      </c>
      <c r="C221" s="441" t="s">
        <v>1076</v>
      </c>
      <c r="D221" s="442" t="s">
        <v>928</v>
      </c>
      <c r="E221" s="442" t="s">
        <v>1111</v>
      </c>
      <c r="F221" s="443">
        <v>45297</v>
      </c>
      <c r="G221" s="445">
        <v>31</v>
      </c>
      <c r="H221" s="444">
        <v>0</v>
      </c>
      <c r="I221" s="444">
        <v>4</v>
      </c>
      <c r="J221" s="444">
        <v>2</v>
      </c>
      <c r="K221" s="444">
        <v>25</v>
      </c>
      <c r="L221" s="446"/>
      <c r="M221" s="446">
        <v>31</v>
      </c>
      <c r="N221" s="780"/>
      <c r="O221" s="442" t="s">
        <v>1837</v>
      </c>
      <c r="P221" s="444"/>
    </row>
    <row r="222" spans="1:16" s="293" customFormat="1" ht="20.100000000000001" customHeight="1">
      <c r="A222" s="447">
        <v>217</v>
      </c>
      <c r="B222" s="440" t="s">
        <v>1138</v>
      </c>
      <c r="C222" s="441" t="s">
        <v>1139</v>
      </c>
      <c r="D222" s="442" t="s">
        <v>928</v>
      </c>
      <c r="E222" s="442" t="s">
        <v>1111</v>
      </c>
      <c r="F222" s="443">
        <v>45300</v>
      </c>
      <c r="G222" s="445">
        <v>31</v>
      </c>
      <c r="H222" s="444">
        <v>0</v>
      </c>
      <c r="I222" s="444">
        <v>4</v>
      </c>
      <c r="J222" s="444">
        <v>2</v>
      </c>
      <c r="K222" s="444">
        <v>25</v>
      </c>
      <c r="L222" s="446"/>
      <c r="M222" s="446">
        <v>31</v>
      </c>
      <c r="N222" s="780"/>
      <c r="O222" s="442" t="s">
        <v>1837</v>
      </c>
      <c r="P222" s="444"/>
    </row>
    <row r="223" spans="1:16" s="293" customFormat="1" ht="20.100000000000001" customHeight="1">
      <c r="A223" s="447">
        <v>218</v>
      </c>
      <c r="B223" s="440" t="s">
        <v>1140</v>
      </c>
      <c r="C223" s="441" t="s">
        <v>1141</v>
      </c>
      <c r="D223" s="442" t="s">
        <v>1142</v>
      </c>
      <c r="E223" s="442" t="s">
        <v>347</v>
      </c>
      <c r="F223" s="443">
        <v>45078</v>
      </c>
      <c r="G223" s="445">
        <v>31</v>
      </c>
      <c r="H223" s="444">
        <v>0</v>
      </c>
      <c r="I223" s="444">
        <v>4</v>
      </c>
      <c r="J223" s="444">
        <v>2</v>
      </c>
      <c r="K223" s="444">
        <v>25</v>
      </c>
      <c r="L223" s="446"/>
      <c r="M223" s="446">
        <v>31</v>
      </c>
      <c r="N223" s="780"/>
      <c r="O223" s="442" t="s">
        <v>1837</v>
      </c>
      <c r="P223" s="444"/>
    </row>
    <row r="224" spans="1:16" s="293" customFormat="1" ht="20.100000000000001" customHeight="1">
      <c r="A224" s="447">
        <v>219</v>
      </c>
      <c r="B224" s="440" t="s">
        <v>1143</v>
      </c>
      <c r="C224" s="441" t="s">
        <v>1144</v>
      </c>
      <c r="D224" s="442" t="s">
        <v>466</v>
      </c>
      <c r="E224" s="442" t="s">
        <v>137</v>
      </c>
      <c r="F224" s="443">
        <v>43452</v>
      </c>
      <c r="G224" s="445">
        <v>31</v>
      </c>
      <c r="H224" s="444">
        <v>0</v>
      </c>
      <c r="I224" s="444">
        <v>4</v>
      </c>
      <c r="J224" s="444">
        <v>2</v>
      </c>
      <c r="K224" s="444">
        <v>25</v>
      </c>
      <c r="L224" s="446"/>
      <c r="M224" s="446">
        <v>31</v>
      </c>
      <c r="N224" s="780"/>
      <c r="O224" s="442" t="s">
        <v>1837</v>
      </c>
      <c r="P224" s="444"/>
    </row>
    <row r="225" spans="1:16" s="293" customFormat="1" ht="20.100000000000001" customHeight="1">
      <c r="A225" s="447">
        <v>220</v>
      </c>
      <c r="B225" s="440" t="s">
        <v>1156</v>
      </c>
      <c r="C225" s="441" t="s">
        <v>1157</v>
      </c>
      <c r="D225" s="442" t="s">
        <v>1158</v>
      </c>
      <c r="E225" s="442" t="s">
        <v>1111</v>
      </c>
      <c r="F225" s="443">
        <v>45325</v>
      </c>
      <c r="G225" s="445">
        <v>31</v>
      </c>
      <c r="H225" s="444">
        <v>0</v>
      </c>
      <c r="I225" s="444">
        <v>4</v>
      </c>
      <c r="J225" s="444">
        <v>2</v>
      </c>
      <c r="K225" s="444">
        <v>25</v>
      </c>
      <c r="L225" s="446"/>
      <c r="M225" s="446">
        <v>31</v>
      </c>
      <c r="N225" s="780"/>
      <c r="O225" s="442" t="s">
        <v>1837</v>
      </c>
      <c r="P225" s="444"/>
    </row>
    <row r="226" spans="1:16" s="293" customFormat="1" ht="20.100000000000001" customHeight="1">
      <c r="A226" s="447">
        <v>221</v>
      </c>
      <c r="B226" s="440" t="s">
        <v>1159</v>
      </c>
      <c r="C226" s="441" t="s">
        <v>1160</v>
      </c>
      <c r="D226" s="442" t="s">
        <v>542</v>
      </c>
      <c r="E226" s="442" t="s">
        <v>517</v>
      </c>
      <c r="F226" s="443">
        <v>45335</v>
      </c>
      <c r="G226" s="445">
        <v>31</v>
      </c>
      <c r="H226" s="444">
        <v>0</v>
      </c>
      <c r="I226" s="444">
        <v>4</v>
      </c>
      <c r="J226" s="444">
        <v>2</v>
      </c>
      <c r="K226" s="444">
        <v>25</v>
      </c>
      <c r="L226" s="446"/>
      <c r="M226" s="446">
        <v>31</v>
      </c>
      <c r="N226" s="780"/>
      <c r="O226" s="442" t="s">
        <v>1837</v>
      </c>
      <c r="P226" s="444"/>
    </row>
    <row r="227" spans="1:16" s="293" customFormat="1" ht="20.100000000000001" customHeight="1">
      <c r="A227" s="447">
        <v>222</v>
      </c>
      <c r="B227" s="440" t="s">
        <v>1161</v>
      </c>
      <c r="C227" s="441" t="s">
        <v>1162</v>
      </c>
      <c r="D227" s="442" t="s">
        <v>1163</v>
      </c>
      <c r="E227" s="442" t="s">
        <v>517</v>
      </c>
      <c r="F227" s="443">
        <v>45323</v>
      </c>
      <c r="G227" s="445">
        <v>31</v>
      </c>
      <c r="H227" s="444">
        <v>0</v>
      </c>
      <c r="I227" s="444">
        <v>4</v>
      </c>
      <c r="J227" s="444">
        <v>2</v>
      </c>
      <c r="K227" s="444">
        <v>25</v>
      </c>
      <c r="L227" s="446"/>
      <c r="M227" s="446">
        <v>31</v>
      </c>
      <c r="N227" s="780"/>
      <c r="O227" s="442" t="s">
        <v>1837</v>
      </c>
      <c r="P227" s="444"/>
    </row>
    <row r="228" spans="1:16" s="293" customFormat="1" ht="20.100000000000001" customHeight="1">
      <c r="A228" s="447">
        <v>223</v>
      </c>
      <c r="B228" s="440" t="s">
        <v>1164</v>
      </c>
      <c r="C228" s="441" t="s">
        <v>1165</v>
      </c>
      <c r="D228" s="442" t="s">
        <v>463</v>
      </c>
      <c r="E228" s="442" t="s">
        <v>1111</v>
      </c>
      <c r="F228" s="443">
        <v>45336</v>
      </c>
      <c r="G228" s="445">
        <v>31</v>
      </c>
      <c r="H228" s="444">
        <v>0</v>
      </c>
      <c r="I228" s="444">
        <v>4</v>
      </c>
      <c r="J228" s="444">
        <v>2</v>
      </c>
      <c r="K228" s="444">
        <v>25</v>
      </c>
      <c r="L228" s="446"/>
      <c r="M228" s="446">
        <v>31</v>
      </c>
      <c r="N228" s="780"/>
      <c r="O228" s="442" t="s">
        <v>1837</v>
      </c>
      <c r="P228" s="444"/>
    </row>
    <row r="229" spans="1:16" s="293" customFormat="1" ht="20.100000000000001" customHeight="1">
      <c r="A229" s="447">
        <v>224</v>
      </c>
      <c r="B229" s="440" t="s">
        <v>1166</v>
      </c>
      <c r="C229" s="441" t="s">
        <v>1167</v>
      </c>
      <c r="D229" s="442" t="s">
        <v>1168</v>
      </c>
      <c r="E229" s="442" t="s">
        <v>705</v>
      </c>
      <c r="F229" s="443">
        <v>45337</v>
      </c>
      <c r="G229" s="445">
        <v>31</v>
      </c>
      <c r="H229" s="444">
        <v>0</v>
      </c>
      <c r="I229" s="444">
        <v>4</v>
      </c>
      <c r="J229" s="444">
        <v>2</v>
      </c>
      <c r="K229" s="444">
        <v>25</v>
      </c>
      <c r="L229" s="446"/>
      <c r="M229" s="446">
        <v>31</v>
      </c>
      <c r="N229" s="780"/>
      <c r="O229" s="442" t="s">
        <v>1837</v>
      </c>
      <c r="P229" s="444"/>
    </row>
    <row r="230" spans="1:16" s="293" customFormat="1" ht="20.100000000000001" customHeight="1">
      <c r="A230" s="447">
        <v>225</v>
      </c>
      <c r="B230" s="440" t="s">
        <v>1170</v>
      </c>
      <c r="C230" s="441" t="s">
        <v>1171</v>
      </c>
      <c r="D230" s="442" t="s">
        <v>463</v>
      </c>
      <c r="E230" s="442" t="s">
        <v>1111</v>
      </c>
      <c r="F230" s="443">
        <v>45337</v>
      </c>
      <c r="G230" s="445">
        <v>31</v>
      </c>
      <c r="H230" s="444">
        <v>4</v>
      </c>
      <c r="I230" s="444">
        <v>4</v>
      </c>
      <c r="J230" s="444">
        <v>2</v>
      </c>
      <c r="K230" s="444">
        <v>21</v>
      </c>
      <c r="L230" s="446"/>
      <c r="M230" s="446">
        <v>31</v>
      </c>
      <c r="N230" s="780"/>
      <c r="O230" s="442" t="s">
        <v>1837</v>
      </c>
      <c r="P230" s="444"/>
    </row>
    <row r="231" spans="1:16" s="293" customFormat="1" ht="20.100000000000001" customHeight="1">
      <c r="A231" s="447">
        <v>226</v>
      </c>
      <c r="B231" s="440" t="s">
        <v>1172</v>
      </c>
      <c r="C231" s="441" t="s">
        <v>1173</v>
      </c>
      <c r="D231" s="442" t="s">
        <v>928</v>
      </c>
      <c r="E231" s="442" t="s">
        <v>203</v>
      </c>
      <c r="F231" s="443">
        <v>45346</v>
      </c>
      <c r="G231" s="445">
        <v>31</v>
      </c>
      <c r="H231" s="444">
        <v>0</v>
      </c>
      <c r="I231" s="444">
        <v>4</v>
      </c>
      <c r="J231" s="444">
        <v>2</v>
      </c>
      <c r="K231" s="444">
        <v>25</v>
      </c>
      <c r="L231" s="446"/>
      <c r="M231" s="446">
        <v>31</v>
      </c>
      <c r="N231" s="780"/>
      <c r="O231" s="442" t="s">
        <v>1837</v>
      </c>
      <c r="P231" s="444"/>
    </row>
    <row r="232" spans="1:16" s="293" customFormat="1" ht="20.100000000000001" customHeight="1">
      <c r="A232" s="447">
        <v>227</v>
      </c>
      <c r="B232" s="440" t="s">
        <v>1188</v>
      </c>
      <c r="C232" s="441" t="s">
        <v>1189</v>
      </c>
      <c r="D232" s="442" t="s">
        <v>928</v>
      </c>
      <c r="E232" s="442" t="s">
        <v>203</v>
      </c>
      <c r="F232" s="443">
        <v>45353</v>
      </c>
      <c r="G232" s="445">
        <v>31</v>
      </c>
      <c r="H232" s="444">
        <v>0</v>
      </c>
      <c r="I232" s="444">
        <v>4</v>
      </c>
      <c r="J232" s="444">
        <v>2</v>
      </c>
      <c r="K232" s="444">
        <v>25</v>
      </c>
      <c r="L232" s="446"/>
      <c r="M232" s="446">
        <v>31</v>
      </c>
      <c r="N232" s="780"/>
      <c r="O232" s="442" t="s">
        <v>1837</v>
      </c>
      <c r="P232" s="444"/>
    </row>
    <row r="233" spans="1:16" s="293" customFormat="1" ht="20.100000000000001" customHeight="1">
      <c r="A233" s="447">
        <v>228</v>
      </c>
      <c r="B233" s="440" t="s">
        <v>1190</v>
      </c>
      <c r="C233" s="441" t="s">
        <v>1191</v>
      </c>
      <c r="D233" s="442" t="s">
        <v>449</v>
      </c>
      <c r="E233" s="442" t="s">
        <v>203</v>
      </c>
      <c r="F233" s="443">
        <v>45353</v>
      </c>
      <c r="G233" s="445">
        <v>31</v>
      </c>
      <c r="H233" s="444">
        <v>0</v>
      </c>
      <c r="I233" s="444">
        <v>4</v>
      </c>
      <c r="J233" s="444">
        <v>2</v>
      </c>
      <c r="K233" s="444">
        <v>25</v>
      </c>
      <c r="L233" s="446"/>
      <c r="M233" s="446">
        <v>31</v>
      </c>
      <c r="N233" s="780"/>
      <c r="O233" s="442" t="s">
        <v>1837</v>
      </c>
      <c r="P233" s="444"/>
    </row>
    <row r="234" spans="1:16" s="293" customFormat="1" ht="20.100000000000001" customHeight="1">
      <c r="A234" s="447">
        <v>229</v>
      </c>
      <c r="B234" s="440" t="s">
        <v>1192</v>
      </c>
      <c r="C234" s="441" t="s">
        <v>1193</v>
      </c>
      <c r="D234" s="442" t="s">
        <v>928</v>
      </c>
      <c r="E234" s="442" t="s">
        <v>203</v>
      </c>
      <c r="F234" s="443">
        <v>45353</v>
      </c>
      <c r="G234" s="445">
        <v>31</v>
      </c>
      <c r="H234" s="444">
        <v>0</v>
      </c>
      <c r="I234" s="444">
        <v>4</v>
      </c>
      <c r="J234" s="444">
        <v>2</v>
      </c>
      <c r="K234" s="444">
        <v>25</v>
      </c>
      <c r="L234" s="446"/>
      <c r="M234" s="446">
        <v>31</v>
      </c>
      <c r="N234" s="780"/>
      <c r="O234" s="442" t="s">
        <v>1837</v>
      </c>
      <c r="P234" s="444"/>
    </row>
    <row r="235" spans="1:16" s="293" customFormat="1" ht="20.100000000000001" customHeight="1">
      <c r="A235" s="447">
        <v>230</v>
      </c>
      <c r="B235" s="440" t="s">
        <v>1196</v>
      </c>
      <c r="C235" s="441" t="s">
        <v>1197</v>
      </c>
      <c r="D235" s="442" t="s">
        <v>449</v>
      </c>
      <c r="E235" s="442" t="s">
        <v>203</v>
      </c>
      <c r="F235" s="443">
        <v>45353</v>
      </c>
      <c r="G235" s="445">
        <v>31</v>
      </c>
      <c r="H235" s="444">
        <v>0</v>
      </c>
      <c r="I235" s="444">
        <v>4</v>
      </c>
      <c r="J235" s="444">
        <v>2</v>
      </c>
      <c r="K235" s="444">
        <v>25</v>
      </c>
      <c r="L235" s="446"/>
      <c r="M235" s="446">
        <v>31</v>
      </c>
      <c r="N235" s="780"/>
      <c r="O235" s="442" t="s">
        <v>1837</v>
      </c>
      <c r="P235" s="444"/>
    </row>
    <row r="236" spans="1:16" s="293" customFormat="1" ht="20.100000000000001" customHeight="1">
      <c r="A236" s="447">
        <v>231</v>
      </c>
      <c r="B236" s="440" t="s">
        <v>1198</v>
      </c>
      <c r="C236" s="441" t="s">
        <v>1199</v>
      </c>
      <c r="D236" s="442" t="s">
        <v>928</v>
      </c>
      <c r="E236" s="442" t="s">
        <v>203</v>
      </c>
      <c r="F236" s="443">
        <v>45353</v>
      </c>
      <c r="G236" s="445">
        <v>31</v>
      </c>
      <c r="H236" s="444">
        <v>0</v>
      </c>
      <c r="I236" s="444">
        <v>4</v>
      </c>
      <c r="J236" s="444">
        <v>2</v>
      </c>
      <c r="K236" s="444">
        <v>25</v>
      </c>
      <c r="L236" s="446"/>
      <c r="M236" s="446">
        <v>31</v>
      </c>
      <c r="N236" s="780"/>
      <c r="O236" s="442" t="s">
        <v>1837</v>
      </c>
      <c r="P236" s="444"/>
    </row>
    <row r="237" spans="1:16" s="293" customFormat="1" ht="20.100000000000001" customHeight="1">
      <c r="A237" s="447">
        <v>232</v>
      </c>
      <c r="B237" s="440" t="s">
        <v>1200</v>
      </c>
      <c r="C237" s="441" t="s">
        <v>1201</v>
      </c>
      <c r="D237" s="442" t="s">
        <v>928</v>
      </c>
      <c r="E237" s="442" t="s">
        <v>203</v>
      </c>
      <c r="F237" s="443">
        <v>45353</v>
      </c>
      <c r="G237" s="445">
        <v>31</v>
      </c>
      <c r="H237" s="444">
        <v>0</v>
      </c>
      <c r="I237" s="444">
        <v>4</v>
      </c>
      <c r="J237" s="444">
        <v>2</v>
      </c>
      <c r="K237" s="444">
        <v>25</v>
      </c>
      <c r="L237" s="446"/>
      <c r="M237" s="446">
        <v>31</v>
      </c>
      <c r="N237" s="780"/>
      <c r="O237" s="442" t="s">
        <v>1837</v>
      </c>
      <c r="P237" s="444"/>
    </row>
    <row r="238" spans="1:16" s="293" customFormat="1" ht="20.100000000000001" customHeight="1">
      <c r="A238" s="447">
        <v>233</v>
      </c>
      <c r="B238" s="440" t="s">
        <v>1202</v>
      </c>
      <c r="C238" s="441" t="s">
        <v>912</v>
      </c>
      <c r="D238" s="442" t="s">
        <v>432</v>
      </c>
      <c r="E238" s="442" t="s">
        <v>292</v>
      </c>
      <c r="F238" s="443">
        <v>45353</v>
      </c>
      <c r="G238" s="445">
        <v>31</v>
      </c>
      <c r="H238" s="444">
        <v>0</v>
      </c>
      <c r="I238" s="444">
        <v>4</v>
      </c>
      <c r="J238" s="444">
        <v>2</v>
      </c>
      <c r="K238" s="444">
        <v>25</v>
      </c>
      <c r="L238" s="446"/>
      <c r="M238" s="446">
        <v>31</v>
      </c>
      <c r="N238" s="780"/>
      <c r="O238" s="442" t="s">
        <v>1837</v>
      </c>
      <c r="P238" s="444"/>
    </row>
    <row r="239" spans="1:16" s="293" customFormat="1" ht="20.100000000000001" customHeight="1">
      <c r="A239" s="447">
        <v>234</v>
      </c>
      <c r="B239" s="440" t="s">
        <v>1203</v>
      </c>
      <c r="C239" s="441" t="s">
        <v>1204</v>
      </c>
      <c r="D239" s="442" t="s">
        <v>542</v>
      </c>
      <c r="E239" s="442" t="s">
        <v>1111</v>
      </c>
      <c r="F239" s="443">
        <v>45355</v>
      </c>
      <c r="G239" s="445">
        <v>31</v>
      </c>
      <c r="H239" s="444">
        <v>0</v>
      </c>
      <c r="I239" s="444">
        <v>4</v>
      </c>
      <c r="J239" s="444">
        <v>2</v>
      </c>
      <c r="K239" s="444">
        <v>25</v>
      </c>
      <c r="L239" s="446"/>
      <c r="M239" s="446">
        <v>31</v>
      </c>
      <c r="N239" s="780"/>
      <c r="O239" s="442" t="s">
        <v>1837</v>
      </c>
      <c r="P239" s="444"/>
    </row>
    <row r="240" spans="1:16" s="293" customFormat="1" ht="20.100000000000001" customHeight="1">
      <c r="A240" s="447">
        <v>235</v>
      </c>
      <c r="B240" s="440" t="s">
        <v>1205</v>
      </c>
      <c r="C240" s="441" t="s">
        <v>1206</v>
      </c>
      <c r="D240" s="442" t="s">
        <v>928</v>
      </c>
      <c r="E240" s="442" t="s">
        <v>203</v>
      </c>
      <c r="F240" s="443">
        <v>45356</v>
      </c>
      <c r="G240" s="445">
        <v>31</v>
      </c>
      <c r="H240" s="444">
        <v>0</v>
      </c>
      <c r="I240" s="444">
        <v>4</v>
      </c>
      <c r="J240" s="444">
        <v>2</v>
      </c>
      <c r="K240" s="444">
        <v>25</v>
      </c>
      <c r="L240" s="446"/>
      <c r="M240" s="446">
        <v>31</v>
      </c>
      <c r="N240" s="780"/>
      <c r="O240" s="442" t="s">
        <v>1837</v>
      </c>
      <c r="P240" s="444"/>
    </row>
    <row r="241" spans="1:16" s="293" customFormat="1" ht="20.100000000000001" customHeight="1">
      <c r="A241" s="447">
        <v>236</v>
      </c>
      <c r="B241" s="440" t="s">
        <v>1207</v>
      </c>
      <c r="C241" s="441" t="s">
        <v>1208</v>
      </c>
      <c r="D241" s="442" t="s">
        <v>1209</v>
      </c>
      <c r="E241" s="442" t="s">
        <v>137</v>
      </c>
      <c r="F241" s="443">
        <v>45356</v>
      </c>
      <c r="G241" s="445">
        <v>31</v>
      </c>
      <c r="H241" s="444">
        <v>2</v>
      </c>
      <c r="I241" s="444">
        <v>4</v>
      </c>
      <c r="J241" s="444">
        <v>2</v>
      </c>
      <c r="K241" s="444">
        <v>23</v>
      </c>
      <c r="L241" s="446"/>
      <c r="M241" s="446">
        <v>31</v>
      </c>
      <c r="N241" s="780"/>
      <c r="O241" s="442" t="s">
        <v>1837</v>
      </c>
      <c r="P241" s="444"/>
    </row>
    <row r="242" spans="1:16" s="293" customFormat="1" ht="20.100000000000001" customHeight="1">
      <c r="A242" s="447">
        <v>237</v>
      </c>
      <c r="B242" s="440" t="s">
        <v>1210</v>
      </c>
      <c r="C242" s="441" t="s">
        <v>1211</v>
      </c>
      <c r="D242" s="442" t="s">
        <v>542</v>
      </c>
      <c r="E242" s="442" t="s">
        <v>1111</v>
      </c>
      <c r="F242" s="443">
        <v>45357</v>
      </c>
      <c r="G242" s="445">
        <v>31</v>
      </c>
      <c r="H242" s="444">
        <v>0</v>
      </c>
      <c r="I242" s="444">
        <v>4</v>
      </c>
      <c r="J242" s="444">
        <v>2</v>
      </c>
      <c r="K242" s="444">
        <v>25</v>
      </c>
      <c r="L242" s="446"/>
      <c r="M242" s="446">
        <v>31</v>
      </c>
      <c r="N242" s="780"/>
      <c r="O242" s="442" t="s">
        <v>1837</v>
      </c>
      <c r="P242" s="444"/>
    </row>
    <row r="243" spans="1:16" s="293" customFormat="1" ht="20.100000000000001" customHeight="1">
      <c r="A243" s="447">
        <v>238</v>
      </c>
      <c r="B243" s="440" t="s">
        <v>1212</v>
      </c>
      <c r="C243" s="441" t="s">
        <v>1213</v>
      </c>
      <c r="D243" s="442" t="s">
        <v>542</v>
      </c>
      <c r="E243" s="442" t="s">
        <v>1111</v>
      </c>
      <c r="F243" s="443">
        <v>45357</v>
      </c>
      <c r="G243" s="445">
        <v>31</v>
      </c>
      <c r="H243" s="444">
        <v>4</v>
      </c>
      <c r="I243" s="444">
        <v>4</v>
      </c>
      <c r="J243" s="444">
        <v>2</v>
      </c>
      <c r="K243" s="444">
        <v>21</v>
      </c>
      <c r="L243" s="446"/>
      <c r="M243" s="446">
        <v>31</v>
      </c>
      <c r="N243" s="780"/>
      <c r="O243" s="442" t="s">
        <v>1837</v>
      </c>
      <c r="P243" s="444" t="s">
        <v>1664</v>
      </c>
    </row>
    <row r="244" spans="1:16" s="293" customFormat="1" ht="20.100000000000001" customHeight="1">
      <c r="A244" s="447">
        <v>239</v>
      </c>
      <c r="B244" s="440" t="s">
        <v>1214</v>
      </c>
      <c r="C244" s="441" t="s">
        <v>1215</v>
      </c>
      <c r="D244" s="442" t="s">
        <v>542</v>
      </c>
      <c r="E244" s="442" t="s">
        <v>1111</v>
      </c>
      <c r="F244" s="443">
        <v>45357</v>
      </c>
      <c r="G244" s="445">
        <v>31</v>
      </c>
      <c r="H244" s="444">
        <v>0</v>
      </c>
      <c r="I244" s="444">
        <v>4</v>
      </c>
      <c r="J244" s="444">
        <v>2</v>
      </c>
      <c r="K244" s="444">
        <v>25</v>
      </c>
      <c r="L244" s="446"/>
      <c r="M244" s="446">
        <v>31</v>
      </c>
      <c r="N244" s="780"/>
      <c r="O244" s="442" t="s">
        <v>1837</v>
      </c>
      <c r="P244" s="444"/>
    </row>
    <row r="245" spans="1:16" s="293" customFormat="1" ht="20.100000000000001" customHeight="1">
      <c r="A245" s="447">
        <v>240</v>
      </c>
      <c r="B245" s="440" t="s">
        <v>1217</v>
      </c>
      <c r="C245" s="441" t="s">
        <v>1218</v>
      </c>
      <c r="D245" s="442" t="s">
        <v>1216</v>
      </c>
      <c r="E245" s="442" t="s">
        <v>426</v>
      </c>
      <c r="F245" s="443">
        <v>45361</v>
      </c>
      <c r="G245" s="445">
        <v>31</v>
      </c>
      <c r="H245" s="444">
        <v>2</v>
      </c>
      <c r="I245" s="444">
        <v>4</v>
      </c>
      <c r="J245" s="444">
        <v>2</v>
      </c>
      <c r="K245" s="444">
        <v>23</v>
      </c>
      <c r="L245" s="446"/>
      <c r="M245" s="446">
        <v>31</v>
      </c>
      <c r="N245" s="780"/>
      <c r="O245" s="442" t="s">
        <v>1837</v>
      </c>
      <c r="P245" s="444"/>
    </row>
    <row r="246" spans="1:16" s="293" customFormat="1" ht="20.100000000000001" customHeight="1">
      <c r="A246" s="447">
        <v>241</v>
      </c>
      <c r="B246" s="440" t="s">
        <v>1219</v>
      </c>
      <c r="C246" s="441" t="s">
        <v>1220</v>
      </c>
      <c r="D246" s="442" t="s">
        <v>484</v>
      </c>
      <c r="E246" s="442" t="s">
        <v>1221</v>
      </c>
      <c r="F246" s="443">
        <v>45361</v>
      </c>
      <c r="G246" s="445">
        <v>31</v>
      </c>
      <c r="H246" s="444">
        <v>0</v>
      </c>
      <c r="I246" s="444">
        <v>4</v>
      </c>
      <c r="J246" s="444">
        <v>2</v>
      </c>
      <c r="K246" s="444">
        <v>25</v>
      </c>
      <c r="L246" s="446"/>
      <c r="M246" s="446">
        <v>31</v>
      </c>
      <c r="N246" s="780"/>
      <c r="O246" s="442" t="s">
        <v>1837</v>
      </c>
      <c r="P246" s="444"/>
    </row>
    <row r="247" spans="1:16" s="293" customFormat="1" ht="20.100000000000001" customHeight="1">
      <c r="A247" s="447">
        <v>242</v>
      </c>
      <c r="B247" s="440" t="s">
        <v>1222</v>
      </c>
      <c r="C247" s="441" t="s">
        <v>1189</v>
      </c>
      <c r="D247" s="442" t="s">
        <v>928</v>
      </c>
      <c r="E247" s="442" t="s">
        <v>1111</v>
      </c>
      <c r="F247" s="443">
        <v>45367</v>
      </c>
      <c r="G247" s="445">
        <v>31</v>
      </c>
      <c r="H247" s="444">
        <v>0</v>
      </c>
      <c r="I247" s="444">
        <v>4</v>
      </c>
      <c r="J247" s="444">
        <v>2</v>
      </c>
      <c r="K247" s="444">
        <v>25</v>
      </c>
      <c r="L247" s="446"/>
      <c r="M247" s="446">
        <v>31</v>
      </c>
      <c r="N247" s="780"/>
      <c r="O247" s="442" t="s">
        <v>1837</v>
      </c>
      <c r="P247" s="444"/>
    </row>
    <row r="248" spans="1:16" s="293" customFormat="1" ht="20.100000000000001" customHeight="1">
      <c r="A248" s="447">
        <v>243</v>
      </c>
      <c r="B248" s="440" t="s">
        <v>1223</v>
      </c>
      <c r="C248" s="441" t="s">
        <v>1224</v>
      </c>
      <c r="D248" s="442" t="s">
        <v>928</v>
      </c>
      <c r="E248" s="442" t="s">
        <v>1111</v>
      </c>
      <c r="F248" s="443">
        <v>45367</v>
      </c>
      <c r="G248" s="445">
        <v>31</v>
      </c>
      <c r="H248" s="444">
        <v>0</v>
      </c>
      <c r="I248" s="444">
        <v>4</v>
      </c>
      <c r="J248" s="444">
        <v>2</v>
      </c>
      <c r="K248" s="444">
        <v>25</v>
      </c>
      <c r="L248" s="446"/>
      <c r="M248" s="446">
        <v>31</v>
      </c>
      <c r="N248" s="780"/>
      <c r="O248" s="442" t="s">
        <v>1837</v>
      </c>
      <c r="P248" s="444"/>
    </row>
    <row r="249" spans="1:16" s="293" customFormat="1" ht="20.100000000000001" customHeight="1">
      <c r="A249" s="447">
        <v>244</v>
      </c>
      <c r="B249" s="440" t="s">
        <v>1225</v>
      </c>
      <c r="C249" s="441" t="s">
        <v>1226</v>
      </c>
      <c r="D249" s="442" t="s">
        <v>441</v>
      </c>
      <c r="E249" s="442" t="s">
        <v>292</v>
      </c>
      <c r="F249" s="443">
        <v>45367</v>
      </c>
      <c r="G249" s="445">
        <v>31</v>
      </c>
      <c r="H249" s="444">
        <v>0</v>
      </c>
      <c r="I249" s="444">
        <v>4</v>
      </c>
      <c r="J249" s="444">
        <v>2</v>
      </c>
      <c r="K249" s="444">
        <v>25</v>
      </c>
      <c r="L249" s="446"/>
      <c r="M249" s="446">
        <v>31</v>
      </c>
      <c r="N249" s="780"/>
      <c r="O249" s="442" t="s">
        <v>1837</v>
      </c>
      <c r="P249" s="444"/>
    </row>
    <row r="250" spans="1:16" s="293" customFormat="1" ht="20.100000000000001" customHeight="1">
      <c r="A250" s="447">
        <v>245</v>
      </c>
      <c r="B250" s="440" t="s">
        <v>1227</v>
      </c>
      <c r="C250" s="441" t="s">
        <v>1228</v>
      </c>
      <c r="D250" s="442" t="s">
        <v>447</v>
      </c>
      <c r="E250" s="442" t="s">
        <v>347</v>
      </c>
      <c r="F250" s="443">
        <v>45369</v>
      </c>
      <c r="G250" s="445">
        <v>31</v>
      </c>
      <c r="H250" s="444">
        <v>3</v>
      </c>
      <c r="I250" s="444">
        <v>4</v>
      </c>
      <c r="J250" s="444">
        <v>2</v>
      </c>
      <c r="K250" s="444">
        <v>22</v>
      </c>
      <c r="L250" s="446"/>
      <c r="M250" s="446">
        <v>31</v>
      </c>
      <c r="N250" s="780"/>
      <c r="O250" s="442" t="s">
        <v>1837</v>
      </c>
      <c r="P250" s="444"/>
    </row>
    <row r="251" spans="1:16" s="293" customFormat="1" ht="20.100000000000001" customHeight="1">
      <c r="A251" s="447">
        <v>246</v>
      </c>
      <c r="B251" s="440" t="s">
        <v>1229</v>
      </c>
      <c r="C251" s="441" t="s">
        <v>1230</v>
      </c>
      <c r="D251" s="442" t="s">
        <v>1231</v>
      </c>
      <c r="E251" s="442" t="s">
        <v>137</v>
      </c>
      <c r="F251" s="443">
        <v>45367</v>
      </c>
      <c r="G251" s="445">
        <v>31</v>
      </c>
      <c r="H251" s="444">
        <v>0</v>
      </c>
      <c r="I251" s="444">
        <v>4</v>
      </c>
      <c r="J251" s="444">
        <v>2</v>
      </c>
      <c r="K251" s="444">
        <v>25</v>
      </c>
      <c r="L251" s="446"/>
      <c r="M251" s="446">
        <v>31</v>
      </c>
      <c r="N251" s="780"/>
      <c r="O251" s="442" t="s">
        <v>1837</v>
      </c>
      <c r="P251" s="444"/>
    </row>
    <row r="252" spans="1:16" s="293" customFormat="1" ht="20.100000000000001" customHeight="1">
      <c r="A252" s="447">
        <v>247</v>
      </c>
      <c r="B252" s="440" t="s">
        <v>1232</v>
      </c>
      <c r="C252" s="441" t="s">
        <v>1233</v>
      </c>
      <c r="D252" s="442" t="s">
        <v>1234</v>
      </c>
      <c r="E252" s="442" t="s">
        <v>137</v>
      </c>
      <c r="F252" s="443">
        <v>45367</v>
      </c>
      <c r="G252" s="445">
        <v>31</v>
      </c>
      <c r="H252" s="444">
        <v>0</v>
      </c>
      <c r="I252" s="444">
        <v>4</v>
      </c>
      <c r="J252" s="444">
        <v>2</v>
      </c>
      <c r="K252" s="444">
        <v>25</v>
      </c>
      <c r="L252" s="446"/>
      <c r="M252" s="446">
        <v>31</v>
      </c>
      <c r="N252" s="780"/>
      <c r="O252" s="442" t="s">
        <v>1837</v>
      </c>
      <c r="P252" s="444"/>
    </row>
    <row r="253" spans="1:16" s="293" customFormat="1" ht="20.100000000000001" customHeight="1">
      <c r="A253" s="447">
        <v>248</v>
      </c>
      <c r="B253" s="440" t="s">
        <v>1235</v>
      </c>
      <c r="C253" s="441" t="s">
        <v>1236</v>
      </c>
      <c r="D253" s="442" t="s">
        <v>1067</v>
      </c>
      <c r="E253" s="442" t="s">
        <v>97</v>
      </c>
      <c r="F253" s="443">
        <v>45370</v>
      </c>
      <c r="G253" s="445">
        <v>31</v>
      </c>
      <c r="H253" s="444">
        <v>0</v>
      </c>
      <c r="I253" s="444">
        <v>4</v>
      </c>
      <c r="J253" s="444">
        <v>2</v>
      </c>
      <c r="K253" s="444">
        <v>25</v>
      </c>
      <c r="L253" s="446"/>
      <c r="M253" s="446">
        <v>31</v>
      </c>
      <c r="N253" s="780"/>
      <c r="O253" s="442" t="s">
        <v>1837</v>
      </c>
      <c r="P253" s="444"/>
    </row>
    <row r="254" spans="1:16" s="293" customFormat="1" ht="20.100000000000001" customHeight="1">
      <c r="A254" s="447">
        <v>249</v>
      </c>
      <c r="B254" s="440" t="s">
        <v>1237</v>
      </c>
      <c r="C254" s="441" t="s">
        <v>1238</v>
      </c>
      <c r="D254" s="442" t="s">
        <v>435</v>
      </c>
      <c r="E254" s="442" t="s">
        <v>97</v>
      </c>
      <c r="F254" s="443">
        <v>45371</v>
      </c>
      <c r="G254" s="445">
        <v>31</v>
      </c>
      <c r="H254" s="444">
        <v>3</v>
      </c>
      <c r="I254" s="444">
        <v>4</v>
      </c>
      <c r="J254" s="444">
        <v>2</v>
      </c>
      <c r="K254" s="444">
        <v>22</v>
      </c>
      <c r="L254" s="446"/>
      <c r="M254" s="446">
        <v>31</v>
      </c>
      <c r="N254" s="780"/>
      <c r="O254" s="442" t="s">
        <v>1837</v>
      </c>
      <c r="P254" s="444"/>
    </row>
    <row r="255" spans="1:16" s="293" customFormat="1" ht="20.100000000000001" customHeight="1">
      <c r="A255" s="447">
        <v>250</v>
      </c>
      <c r="B255" s="440" t="s">
        <v>1241</v>
      </c>
      <c r="C255" s="441" t="s">
        <v>1242</v>
      </c>
      <c r="D255" s="442" t="s">
        <v>435</v>
      </c>
      <c r="E255" s="442" t="s">
        <v>97</v>
      </c>
      <c r="F255" s="443">
        <v>45362</v>
      </c>
      <c r="G255" s="445">
        <v>31</v>
      </c>
      <c r="H255" s="444">
        <v>2</v>
      </c>
      <c r="I255" s="444">
        <v>4</v>
      </c>
      <c r="J255" s="444">
        <v>2</v>
      </c>
      <c r="K255" s="444">
        <v>23</v>
      </c>
      <c r="L255" s="446"/>
      <c r="M255" s="446">
        <v>31</v>
      </c>
      <c r="N255" s="780"/>
      <c r="O255" s="442" t="s">
        <v>1837</v>
      </c>
      <c r="P255" s="444"/>
    </row>
    <row r="256" spans="1:16" s="293" customFormat="1" ht="20.100000000000001" customHeight="1">
      <c r="A256" s="447">
        <v>251</v>
      </c>
      <c r="B256" s="440" t="s">
        <v>1245</v>
      </c>
      <c r="C256" s="441" t="s">
        <v>1246</v>
      </c>
      <c r="D256" s="442" t="s">
        <v>479</v>
      </c>
      <c r="E256" s="442" t="s">
        <v>97</v>
      </c>
      <c r="F256" s="443">
        <v>45378</v>
      </c>
      <c r="G256" s="445">
        <v>31</v>
      </c>
      <c r="H256" s="444">
        <v>0</v>
      </c>
      <c r="I256" s="444">
        <v>4</v>
      </c>
      <c r="J256" s="444">
        <v>2</v>
      </c>
      <c r="K256" s="444">
        <v>25</v>
      </c>
      <c r="L256" s="446"/>
      <c r="M256" s="446">
        <v>31</v>
      </c>
      <c r="N256" s="780"/>
      <c r="O256" s="442" t="s">
        <v>1837</v>
      </c>
      <c r="P256" s="444"/>
    </row>
    <row r="257" spans="1:16" s="293" customFormat="1" ht="20.100000000000001" customHeight="1">
      <c r="A257" s="447">
        <v>252</v>
      </c>
      <c r="B257" s="440" t="s">
        <v>1279</v>
      </c>
      <c r="C257" s="441" t="s">
        <v>1280</v>
      </c>
      <c r="D257" s="442" t="s">
        <v>441</v>
      </c>
      <c r="E257" s="442" t="s">
        <v>292</v>
      </c>
      <c r="F257" s="443">
        <v>45384</v>
      </c>
      <c r="G257" s="445">
        <v>31</v>
      </c>
      <c r="H257" s="444">
        <v>0</v>
      </c>
      <c r="I257" s="444">
        <v>4</v>
      </c>
      <c r="J257" s="444">
        <v>2</v>
      </c>
      <c r="K257" s="444">
        <v>25</v>
      </c>
      <c r="L257" s="446"/>
      <c r="M257" s="446">
        <v>31</v>
      </c>
      <c r="N257" s="780"/>
      <c r="O257" s="442" t="s">
        <v>1837</v>
      </c>
      <c r="P257" s="444"/>
    </row>
    <row r="258" spans="1:16" s="293" customFormat="1" ht="20.100000000000001" customHeight="1">
      <c r="A258" s="447">
        <v>253</v>
      </c>
      <c r="B258" s="440" t="s">
        <v>1281</v>
      </c>
      <c r="C258" s="441" t="s">
        <v>1282</v>
      </c>
      <c r="D258" s="442" t="s">
        <v>704</v>
      </c>
      <c r="E258" s="442" t="s">
        <v>517</v>
      </c>
      <c r="F258" s="443">
        <v>44917</v>
      </c>
      <c r="G258" s="445">
        <v>31</v>
      </c>
      <c r="H258" s="444">
        <v>0</v>
      </c>
      <c r="I258" s="444">
        <v>4</v>
      </c>
      <c r="J258" s="444">
        <v>2</v>
      </c>
      <c r="K258" s="444">
        <v>25</v>
      </c>
      <c r="L258" s="446"/>
      <c r="M258" s="446">
        <v>31</v>
      </c>
      <c r="N258" s="780"/>
      <c r="O258" s="442" t="s">
        <v>1837</v>
      </c>
      <c r="P258" s="444"/>
    </row>
    <row r="259" spans="1:16" s="293" customFormat="1" ht="20.100000000000001" customHeight="1">
      <c r="A259" s="447">
        <v>254</v>
      </c>
      <c r="B259" s="440" t="s">
        <v>1283</v>
      </c>
      <c r="C259" s="441" t="s">
        <v>1284</v>
      </c>
      <c r="D259" s="442" t="s">
        <v>928</v>
      </c>
      <c r="E259" s="442" t="s">
        <v>517</v>
      </c>
      <c r="F259" s="443">
        <v>45397</v>
      </c>
      <c r="G259" s="445">
        <v>31</v>
      </c>
      <c r="H259" s="444">
        <v>0</v>
      </c>
      <c r="I259" s="444">
        <v>4</v>
      </c>
      <c r="J259" s="444">
        <v>2</v>
      </c>
      <c r="K259" s="444">
        <v>25</v>
      </c>
      <c r="L259" s="446"/>
      <c r="M259" s="446">
        <v>31</v>
      </c>
      <c r="N259" s="780"/>
      <c r="O259" s="442" t="s">
        <v>1837</v>
      </c>
      <c r="P259" s="444"/>
    </row>
    <row r="260" spans="1:16" s="293" customFormat="1" ht="20.100000000000001" customHeight="1">
      <c r="A260" s="447">
        <v>255</v>
      </c>
      <c r="B260" s="440" t="s">
        <v>1285</v>
      </c>
      <c r="C260" s="441" t="s">
        <v>1286</v>
      </c>
      <c r="D260" s="442" t="s">
        <v>484</v>
      </c>
      <c r="E260" s="442" t="s">
        <v>1287</v>
      </c>
      <c r="F260" s="443">
        <v>45397</v>
      </c>
      <c r="G260" s="445">
        <v>31</v>
      </c>
      <c r="H260" s="444">
        <v>0</v>
      </c>
      <c r="I260" s="444">
        <v>4</v>
      </c>
      <c r="J260" s="444">
        <v>2</v>
      </c>
      <c r="K260" s="444">
        <v>25</v>
      </c>
      <c r="L260" s="446"/>
      <c r="M260" s="446">
        <v>31</v>
      </c>
      <c r="N260" s="780"/>
      <c r="O260" s="442" t="s">
        <v>1837</v>
      </c>
      <c r="P260" s="444"/>
    </row>
    <row r="261" spans="1:16" s="293" customFormat="1" ht="20.100000000000001" customHeight="1">
      <c r="A261" s="447">
        <v>256</v>
      </c>
      <c r="B261" s="440" t="s">
        <v>1288</v>
      </c>
      <c r="C261" s="441" t="s">
        <v>1289</v>
      </c>
      <c r="D261" s="442" t="s">
        <v>629</v>
      </c>
      <c r="E261" s="442" t="s">
        <v>469</v>
      </c>
      <c r="F261" s="443">
        <v>45397</v>
      </c>
      <c r="G261" s="445">
        <v>31</v>
      </c>
      <c r="H261" s="444">
        <v>2</v>
      </c>
      <c r="I261" s="444">
        <v>4</v>
      </c>
      <c r="J261" s="444">
        <v>2</v>
      </c>
      <c r="K261" s="444">
        <v>23</v>
      </c>
      <c r="L261" s="446"/>
      <c r="M261" s="446">
        <v>31</v>
      </c>
      <c r="N261" s="780"/>
      <c r="O261" s="442" t="s">
        <v>1837</v>
      </c>
      <c r="P261" s="444"/>
    </row>
    <row r="262" spans="1:16" s="293" customFormat="1" ht="20.100000000000001" customHeight="1">
      <c r="A262" s="447">
        <v>257</v>
      </c>
      <c r="B262" s="440" t="s">
        <v>1290</v>
      </c>
      <c r="C262" s="441" t="s">
        <v>1291</v>
      </c>
      <c r="D262" s="442" t="s">
        <v>629</v>
      </c>
      <c r="E262" s="442" t="s">
        <v>469</v>
      </c>
      <c r="F262" s="443">
        <v>45397</v>
      </c>
      <c r="G262" s="445">
        <v>31</v>
      </c>
      <c r="H262" s="444">
        <v>0</v>
      </c>
      <c r="I262" s="444">
        <v>4</v>
      </c>
      <c r="J262" s="444">
        <v>2</v>
      </c>
      <c r="K262" s="444">
        <v>25</v>
      </c>
      <c r="L262" s="446"/>
      <c r="M262" s="446">
        <v>31</v>
      </c>
      <c r="N262" s="780"/>
      <c r="O262" s="442" t="s">
        <v>1837</v>
      </c>
      <c r="P262" s="444" t="s">
        <v>1664</v>
      </c>
    </row>
    <row r="263" spans="1:16" s="293" customFormat="1" ht="20.100000000000001" customHeight="1">
      <c r="A263" s="447">
        <v>258</v>
      </c>
      <c r="B263" s="440" t="s">
        <v>1292</v>
      </c>
      <c r="C263" s="441" t="s">
        <v>1293</v>
      </c>
      <c r="D263" s="442" t="s">
        <v>435</v>
      </c>
      <c r="E263" s="442" t="s">
        <v>97</v>
      </c>
      <c r="F263" s="443">
        <v>45397</v>
      </c>
      <c r="G263" s="445">
        <v>31</v>
      </c>
      <c r="H263" s="444">
        <v>0</v>
      </c>
      <c r="I263" s="444">
        <v>4</v>
      </c>
      <c r="J263" s="444">
        <v>2</v>
      </c>
      <c r="K263" s="444">
        <v>25</v>
      </c>
      <c r="L263" s="446"/>
      <c r="M263" s="446">
        <v>31</v>
      </c>
      <c r="N263" s="780"/>
      <c r="O263" s="442" t="s">
        <v>1837</v>
      </c>
      <c r="P263" s="444"/>
    </row>
    <row r="264" spans="1:16" s="293" customFormat="1" ht="20.100000000000001" customHeight="1">
      <c r="A264" s="447">
        <v>259</v>
      </c>
      <c r="B264" s="440" t="s">
        <v>1294</v>
      </c>
      <c r="C264" s="441" t="s">
        <v>1295</v>
      </c>
      <c r="D264" s="442" t="s">
        <v>435</v>
      </c>
      <c r="E264" s="442" t="s">
        <v>97</v>
      </c>
      <c r="F264" s="443">
        <v>45397</v>
      </c>
      <c r="G264" s="445">
        <v>31</v>
      </c>
      <c r="H264" s="444">
        <v>0</v>
      </c>
      <c r="I264" s="444">
        <v>4</v>
      </c>
      <c r="J264" s="444">
        <v>2</v>
      </c>
      <c r="K264" s="444">
        <v>25</v>
      </c>
      <c r="L264" s="446"/>
      <c r="M264" s="446">
        <v>31</v>
      </c>
      <c r="N264" s="780"/>
      <c r="O264" s="442" t="s">
        <v>1837</v>
      </c>
      <c r="P264" s="444"/>
    </row>
    <row r="265" spans="1:16" s="293" customFormat="1" ht="20.100000000000001" customHeight="1">
      <c r="A265" s="447">
        <v>260</v>
      </c>
      <c r="B265" s="440" t="s">
        <v>1296</v>
      </c>
      <c r="C265" s="441" t="s">
        <v>1297</v>
      </c>
      <c r="D265" s="442" t="s">
        <v>542</v>
      </c>
      <c r="E265" s="442" t="s">
        <v>1111</v>
      </c>
      <c r="F265" s="443">
        <v>45398</v>
      </c>
      <c r="G265" s="445">
        <v>31</v>
      </c>
      <c r="H265" s="444">
        <v>0</v>
      </c>
      <c r="I265" s="444">
        <v>4</v>
      </c>
      <c r="J265" s="444">
        <v>2</v>
      </c>
      <c r="K265" s="444">
        <v>25</v>
      </c>
      <c r="L265" s="446"/>
      <c r="M265" s="446">
        <v>31</v>
      </c>
      <c r="N265" s="780"/>
      <c r="O265" s="442" t="s">
        <v>1837</v>
      </c>
      <c r="P265" s="444"/>
    </row>
    <row r="266" spans="1:16" s="293" customFormat="1" ht="20.100000000000001" customHeight="1">
      <c r="A266" s="447">
        <v>261</v>
      </c>
      <c r="B266" s="440" t="s">
        <v>1298</v>
      </c>
      <c r="C266" s="441" t="s">
        <v>1299</v>
      </c>
      <c r="D266" s="442" t="s">
        <v>542</v>
      </c>
      <c r="E266" s="442" t="s">
        <v>1111</v>
      </c>
      <c r="F266" s="443">
        <v>45398</v>
      </c>
      <c r="G266" s="445">
        <v>31</v>
      </c>
      <c r="H266" s="444">
        <v>0</v>
      </c>
      <c r="I266" s="444">
        <v>4</v>
      </c>
      <c r="J266" s="444">
        <v>2</v>
      </c>
      <c r="K266" s="444">
        <v>25</v>
      </c>
      <c r="L266" s="446"/>
      <c r="M266" s="446">
        <v>31</v>
      </c>
      <c r="N266" s="780"/>
      <c r="O266" s="442" t="s">
        <v>1837</v>
      </c>
      <c r="P266" s="444"/>
    </row>
    <row r="267" spans="1:16" s="293" customFormat="1" ht="20.100000000000001" customHeight="1">
      <c r="A267" s="447">
        <v>262</v>
      </c>
      <c r="B267" s="440" t="s">
        <v>1300</v>
      </c>
      <c r="C267" s="441" t="s">
        <v>1301</v>
      </c>
      <c r="D267" s="442" t="s">
        <v>542</v>
      </c>
      <c r="E267" s="442" t="s">
        <v>1111</v>
      </c>
      <c r="F267" s="443">
        <v>45398</v>
      </c>
      <c r="G267" s="445">
        <v>31</v>
      </c>
      <c r="H267" s="444">
        <v>0</v>
      </c>
      <c r="I267" s="444">
        <v>4</v>
      </c>
      <c r="J267" s="444">
        <v>2</v>
      </c>
      <c r="K267" s="444">
        <v>25</v>
      </c>
      <c r="L267" s="446"/>
      <c r="M267" s="446">
        <v>31</v>
      </c>
      <c r="N267" s="780"/>
      <c r="O267" s="442" t="s">
        <v>1837</v>
      </c>
      <c r="P267" s="444"/>
    </row>
    <row r="268" spans="1:16" s="293" customFormat="1" ht="20.100000000000001" customHeight="1">
      <c r="A268" s="447">
        <v>263</v>
      </c>
      <c r="B268" s="440" t="s">
        <v>1302</v>
      </c>
      <c r="C268" s="441" t="s">
        <v>1303</v>
      </c>
      <c r="D268" s="442" t="s">
        <v>542</v>
      </c>
      <c r="E268" s="442" t="s">
        <v>1111</v>
      </c>
      <c r="F268" s="443">
        <v>45398</v>
      </c>
      <c r="G268" s="445">
        <v>31</v>
      </c>
      <c r="H268" s="444">
        <v>0</v>
      </c>
      <c r="I268" s="444">
        <v>4</v>
      </c>
      <c r="J268" s="444">
        <v>2</v>
      </c>
      <c r="K268" s="444">
        <v>25</v>
      </c>
      <c r="L268" s="446"/>
      <c r="M268" s="446">
        <v>31</v>
      </c>
      <c r="N268" s="780"/>
      <c r="O268" s="442" t="s">
        <v>1837</v>
      </c>
      <c r="P268" s="444"/>
    </row>
    <row r="269" spans="1:16" s="293" customFormat="1" ht="20.100000000000001" customHeight="1">
      <c r="A269" s="447">
        <v>264</v>
      </c>
      <c r="B269" s="440" t="s">
        <v>1304</v>
      </c>
      <c r="C269" s="441" t="s">
        <v>1110</v>
      </c>
      <c r="D269" s="442" t="s">
        <v>542</v>
      </c>
      <c r="E269" s="442" t="s">
        <v>1111</v>
      </c>
      <c r="F269" s="443">
        <v>45398</v>
      </c>
      <c r="G269" s="445">
        <v>31</v>
      </c>
      <c r="H269" s="444">
        <v>0</v>
      </c>
      <c r="I269" s="444">
        <v>4</v>
      </c>
      <c r="J269" s="444">
        <v>2</v>
      </c>
      <c r="K269" s="444">
        <v>25</v>
      </c>
      <c r="L269" s="446"/>
      <c r="M269" s="446">
        <v>31</v>
      </c>
      <c r="N269" s="780"/>
      <c r="O269" s="442" t="s">
        <v>1837</v>
      </c>
      <c r="P269" s="444"/>
    </row>
    <row r="270" spans="1:16" s="293" customFormat="1" ht="20.100000000000001" customHeight="1">
      <c r="A270" s="447">
        <v>265</v>
      </c>
      <c r="B270" s="440" t="s">
        <v>1305</v>
      </c>
      <c r="C270" s="441" t="s">
        <v>1306</v>
      </c>
      <c r="D270" s="442" t="s">
        <v>542</v>
      </c>
      <c r="E270" s="442" t="s">
        <v>1111</v>
      </c>
      <c r="F270" s="443">
        <v>45398</v>
      </c>
      <c r="G270" s="445">
        <v>31</v>
      </c>
      <c r="H270" s="444">
        <v>0</v>
      </c>
      <c r="I270" s="444">
        <v>4</v>
      </c>
      <c r="J270" s="444">
        <v>2</v>
      </c>
      <c r="K270" s="444">
        <v>25</v>
      </c>
      <c r="L270" s="446"/>
      <c r="M270" s="446">
        <v>31</v>
      </c>
      <c r="N270" s="780"/>
      <c r="O270" s="442" t="s">
        <v>1837</v>
      </c>
      <c r="P270" s="444"/>
    </row>
    <row r="271" spans="1:16" s="293" customFormat="1" ht="20.100000000000001" customHeight="1">
      <c r="A271" s="447">
        <v>266</v>
      </c>
      <c r="B271" s="440" t="s">
        <v>1307</v>
      </c>
      <c r="C271" s="441" t="s">
        <v>1308</v>
      </c>
      <c r="D271" s="442" t="s">
        <v>890</v>
      </c>
      <c r="E271" s="442" t="s">
        <v>1111</v>
      </c>
      <c r="F271" s="443">
        <v>45398</v>
      </c>
      <c r="G271" s="445">
        <v>31</v>
      </c>
      <c r="H271" s="444">
        <v>0</v>
      </c>
      <c r="I271" s="444">
        <v>4</v>
      </c>
      <c r="J271" s="444">
        <v>2</v>
      </c>
      <c r="K271" s="444">
        <v>25</v>
      </c>
      <c r="L271" s="446"/>
      <c r="M271" s="446">
        <v>31</v>
      </c>
      <c r="N271" s="780"/>
      <c r="O271" s="442" t="s">
        <v>1837</v>
      </c>
      <c r="P271" s="444"/>
    </row>
    <row r="272" spans="1:16" s="293" customFormat="1" ht="20.100000000000001" customHeight="1">
      <c r="A272" s="447">
        <v>267</v>
      </c>
      <c r="B272" s="440" t="s">
        <v>1309</v>
      </c>
      <c r="C272" s="441" t="s">
        <v>1310</v>
      </c>
      <c r="D272" s="442" t="s">
        <v>890</v>
      </c>
      <c r="E272" s="442" t="s">
        <v>1111</v>
      </c>
      <c r="F272" s="443">
        <v>45398</v>
      </c>
      <c r="G272" s="445">
        <v>31</v>
      </c>
      <c r="H272" s="444">
        <v>0</v>
      </c>
      <c r="I272" s="444">
        <v>4</v>
      </c>
      <c r="J272" s="444">
        <v>2</v>
      </c>
      <c r="K272" s="444">
        <v>25</v>
      </c>
      <c r="L272" s="446"/>
      <c r="M272" s="446">
        <v>31</v>
      </c>
      <c r="N272" s="780"/>
      <c r="O272" s="442" t="s">
        <v>1837</v>
      </c>
      <c r="P272" s="444"/>
    </row>
    <row r="273" spans="1:16" s="293" customFormat="1" ht="20.100000000000001" customHeight="1">
      <c r="A273" s="447">
        <v>268</v>
      </c>
      <c r="B273" s="440" t="s">
        <v>1311</v>
      </c>
      <c r="C273" s="441" t="s">
        <v>1312</v>
      </c>
      <c r="D273" s="442" t="s">
        <v>542</v>
      </c>
      <c r="E273" s="442" t="s">
        <v>1111</v>
      </c>
      <c r="F273" s="443">
        <v>45398</v>
      </c>
      <c r="G273" s="445">
        <v>31</v>
      </c>
      <c r="H273" s="444">
        <v>0</v>
      </c>
      <c r="I273" s="444">
        <v>4</v>
      </c>
      <c r="J273" s="444">
        <v>2</v>
      </c>
      <c r="K273" s="444">
        <v>25</v>
      </c>
      <c r="L273" s="446"/>
      <c r="M273" s="446">
        <v>31</v>
      </c>
      <c r="N273" s="780"/>
      <c r="O273" s="442" t="s">
        <v>1837</v>
      </c>
      <c r="P273" s="444"/>
    </row>
    <row r="274" spans="1:16" s="293" customFormat="1" ht="20.100000000000001" customHeight="1">
      <c r="A274" s="447">
        <v>269</v>
      </c>
      <c r="B274" s="440" t="s">
        <v>1313</v>
      </c>
      <c r="C274" s="441" t="s">
        <v>1314</v>
      </c>
      <c r="D274" s="442" t="s">
        <v>928</v>
      </c>
      <c r="E274" s="442" t="s">
        <v>517</v>
      </c>
      <c r="F274" s="443">
        <v>45398</v>
      </c>
      <c r="G274" s="445">
        <v>31</v>
      </c>
      <c r="H274" s="444">
        <v>0</v>
      </c>
      <c r="I274" s="444">
        <v>4</v>
      </c>
      <c r="J274" s="444">
        <v>2</v>
      </c>
      <c r="K274" s="444">
        <v>25</v>
      </c>
      <c r="L274" s="446"/>
      <c r="M274" s="446">
        <v>31</v>
      </c>
      <c r="N274" s="780"/>
      <c r="O274" s="442" t="s">
        <v>1837</v>
      </c>
      <c r="P274" s="444"/>
    </row>
    <row r="275" spans="1:16" s="293" customFormat="1" ht="20.100000000000001" customHeight="1">
      <c r="A275" s="447">
        <v>270</v>
      </c>
      <c r="B275" s="440" t="s">
        <v>1315</v>
      </c>
      <c r="C275" s="441" t="s">
        <v>1316</v>
      </c>
      <c r="D275" s="442" t="s">
        <v>473</v>
      </c>
      <c r="E275" s="442" t="s">
        <v>97</v>
      </c>
      <c r="F275" s="443">
        <v>45397</v>
      </c>
      <c r="G275" s="445">
        <v>31</v>
      </c>
      <c r="H275" s="444">
        <v>0</v>
      </c>
      <c r="I275" s="444">
        <v>4</v>
      </c>
      <c r="J275" s="444">
        <v>2</v>
      </c>
      <c r="K275" s="444">
        <v>25</v>
      </c>
      <c r="L275" s="446"/>
      <c r="M275" s="446">
        <v>31</v>
      </c>
      <c r="N275" s="780"/>
      <c r="O275" s="442" t="s">
        <v>1837</v>
      </c>
      <c r="P275" s="444"/>
    </row>
    <row r="276" spans="1:16" s="293" customFormat="1" ht="20.100000000000001" customHeight="1">
      <c r="A276" s="447">
        <v>271</v>
      </c>
      <c r="B276" s="440" t="s">
        <v>1317</v>
      </c>
      <c r="C276" s="441" t="s">
        <v>1318</v>
      </c>
      <c r="D276" s="442" t="s">
        <v>473</v>
      </c>
      <c r="E276" s="442" t="s">
        <v>97</v>
      </c>
      <c r="F276" s="443">
        <v>45400</v>
      </c>
      <c r="G276" s="445">
        <v>31</v>
      </c>
      <c r="H276" s="444">
        <v>0</v>
      </c>
      <c r="I276" s="444">
        <v>4</v>
      </c>
      <c r="J276" s="444">
        <v>2</v>
      </c>
      <c r="K276" s="444">
        <v>25</v>
      </c>
      <c r="L276" s="446"/>
      <c r="M276" s="446">
        <v>31</v>
      </c>
      <c r="N276" s="780"/>
      <c r="O276" s="442" t="s">
        <v>1837</v>
      </c>
      <c r="P276" s="444"/>
    </row>
    <row r="277" spans="1:16" s="293" customFormat="1" ht="20.100000000000001" customHeight="1">
      <c r="A277" s="447">
        <v>272</v>
      </c>
      <c r="B277" s="440" t="s">
        <v>1319</v>
      </c>
      <c r="C277" s="441" t="s">
        <v>1320</v>
      </c>
      <c r="D277" s="442" t="s">
        <v>435</v>
      </c>
      <c r="E277" s="442" t="s">
        <v>97</v>
      </c>
      <c r="F277" s="443">
        <v>45397</v>
      </c>
      <c r="G277" s="445">
        <v>31</v>
      </c>
      <c r="H277" s="444">
        <v>0</v>
      </c>
      <c r="I277" s="444">
        <v>4</v>
      </c>
      <c r="J277" s="444">
        <v>2</v>
      </c>
      <c r="K277" s="444">
        <v>25</v>
      </c>
      <c r="L277" s="446"/>
      <c r="M277" s="446">
        <v>31</v>
      </c>
      <c r="N277" s="780"/>
      <c r="O277" s="442" t="s">
        <v>1837</v>
      </c>
      <c r="P277" s="444"/>
    </row>
    <row r="278" spans="1:16" s="293" customFormat="1" ht="20.100000000000001" customHeight="1">
      <c r="A278" s="447">
        <v>273</v>
      </c>
      <c r="B278" s="440" t="s">
        <v>1321</v>
      </c>
      <c r="C278" s="441" t="s">
        <v>1322</v>
      </c>
      <c r="D278" s="442" t="s">
        <v>1323</v>
      </c>
      <c r="E278" s="442" t="s">
        <v>97</v>
      </c>
      <c r="F278" s="443">
        <v>45384</v>
      </c>
      <c r="G278" s="445">
        <v>31</v>
      </c>
      <c r="H278" s="444">
        <v>0</v>
      </c>
      <c r="I278" s="444">
        <v>4</v>
      </c>
      <c r="J278" s="444">
        <v>2</v>
      </c>
      <c r="K278" s="444">
        <v>25</v>
      </c>
      <c r="L278" s="446"/>
      <c r="M278" s="446">
        <v>31</v>
      </c>
      <c r="N278" s="780"/>
      <c r="O278" s="442" t="s">
        <v>1837</v>
      </c>
      <c r="P278" s="444"/>
    </row>
    <row r="279" spans="1:16" s="293" customFormat="1">
      <c r="A279" s="447">
        <v>274</v>
      </c>
      <c r="B279" s="440" t="s">
        <v>1324</v>
      </c>
      <c r="C279" s="441" t="s">
        <v>1325</v>
      </c>
      <c r="D279" s="442" t="s">
        <v>435</v>
      </c>
      <c r="E279" s="442" t="s">
        <v>97</v>
      </c>
      <c r="F279" s="443">
        <v>45398</v>
      </c>
      <c r="G279" s="445">
        <v>31</v>
      </c>
      <c r="H279" s="444">
        <v>0</v>
      </c>
      <c r="I279" s="444">
        <v>4</v>
      </c>
      <c r="J279" s="444">
        <v>2</v>
      </c>
      <c r="K279" s="444">
        <v>25</v>
      </c>
      <c r="L279" s="446"/>
      <c r="M279" s="446">
        <v>31</v>
      </c>
      <c r="N279" s="780"/>
      <c r="O279" s="442" t="s">
        <v>1837</v>
      </c>
      <c r="P279" s="444"/>
    </row>
    <row r="280" spans="1:16" s="293" customFormat="1" ht="20.100000000000001" customHeight="1">
      <c r="A280" s="447">
        <v>275</v>
      </c>
      <c r="B280" s="440" t="s">
        <v>1326</v>
      </c>
      <c r="C280" s="441" t="s">
        <v>1327</v>
      </c>
      <c r="D280" s="442" t="s">
        <v>435</v>
      </c>
      <c r="E280" s="442" t="s">
        <v>97</v>
      </c>
      <c r="F280" s="443">
        <v>45388</v>
      </c>
      <c r="G280" s="445">
        <v>31</v>
      </c>
      <c r="H280" s="444">
        <v>0</v>
      </c>
      <c r="I280" s="444">
        <v>4</v>
      </c>
      <c r="J280" s="444">
        <v>2</v>
      </c>
      <c r="K280" s="444">
        <v>25</v>
      </c>
      <c r="L280" s="446"/>
      <c r="M280" s="446">
        <v>31</v>
      </c>
      <c r="N280" s="780"/>
      <c r="O280" s="442" t="s">
        <v>1837</v>
      </c>
      <c r="P280" s="444"/>
    </row>
    <row r="281" spans="1:16" s="293" customFormat="1" ht="20.100000000000001" customHeight="1">
      <c r="A281" s="447">
        <v>276</v>
      </c>
      <c r="B281" s="440" t="s">
        <v>1328</v>
      </c>
      <c r="C281" s="441" t="s">
        <v>1329</v>
      </c>
      <c r="D281" s="442" t="s">
        <v>435</v>
      </c>
      <c r="E281" s="442" t="s">
        <v>97</v>
      </c>
      <c r="F281" s="443">
        <v>45402</v>
      </c>
      <c r="G281" s="445">
        <v>31</v>
      </c>
      <c r="H281" s="444">
        <v>0</v>
      </c>
      <c r="I281" s="444">
        <v>4</v>
      </c>
      <c r="J281" s="444">
        <v>2</v>
      </c>
      <c r="K281" s="444">
        <v>25</v>
      </c>
      <c r="L281" s="446"/>
      <c r="M281" s="446">
        <v>31</v>
      </c>
      <c r="N281" s="780"/>
      <c r="O281" s="442" t="s">
        <v>1837</v>
      </c>
      <c r="P281" s="444"/>
    </row>
    <row r="282" spans="1:16" s="293" customFormat="1" ht="20.100000000000001" customHeight="1">
      <c r="A282" s="447">
        <v>277</v>
      </c>
      <c r="B282" s="440" t="s">
        <v>1366</v>
      </c>
      <c r="C282" s="441" t="s">
        <v>1367</v>
      </c>
      <c r="D282" s="442" t="s">
        <v>1368</v>
      </c>
      <c r="E282" s="442" t="s">
        <v>203</v>
      </c>
      <c r="F282" s="443">
        <v>45414</v>
      </c>
      <c r="G282" s="445">
        <v>31</v>
      </c>
      <c r="H282" s="444">
        <v>1</v>
      </c>
      <c r="I282" s="444">
        <v>4</v>
      </c>
      <c r="J282" s="444">
        <v>2</v>
      </c>
      <c r="K282" s="444">
        <v>24</v>
      </c>
      <c r="L282" s="446"/>
      <c r="M282" s="446">
        <v>31</v>
      </c>
      <c r="N282" s="780"/>
      <c r="O282" s="442" t="s">
        <v>1837</v>
      </c>
      <c r="P282" s="444"/>
    </row>
    <row r="283" spans="1:16" s="293" customFormat="1" ht="20.100000000000001" customHeight="1">
      <c r="A283" s="447">
        <v>278</v>
      </c>
      <c r="B283" s="440" t="s">
        <v>1369</v>
      </c>
      <c r="C283" s="441" t="s">
        <v>1370</v>
      </c>
      <c r="D283" s="442" t="s">
        <v>928</v>
      </c>
      <c r="E283" s="442" t="s">
        <v>517</v>
      </c>
      <c r="F283" s="443">
        <v>45416</v>
      </c>
      <c r="G283" s="445">
        <v>31</v>
      </c>
      <c r="H283" s="444">
        <v>0</v>
      </c>
      <c r="I283" s="444">
        <v>4</v>
      </c>
      <c r="J283" s="444">
        <v>2</v>
      </c>
      <c r="K283" s="444">
        <v>25</v>
      </c>
      <c r="L283" s="446"/>
      <c r="M283" s="446">
        <v>31</v>
      </c>
      <c r="N283" s="780"/>
      <c r="O283" s="442" t="s">
        <v>1837</v>
      </c>
      <c r="P283" s="444"/>
    </row>
    <row r="284" spans="1:16" s="293" customFormat="1" ht="20.100000000000001" customHeight="1">
      <c r="A284" s="447">
        <v>279</v>
      </c>
      <c r="B284" s="440" t="s">
        <v>1371</v>
      </c>
      <c r="C284" s="441" t="s">
        <v>1372</v>
      </c>
      <c r="D284" s="442" t="s">
        <v>460</v>
      </c>
      <c r="E284" s="442" t="s">
        <v>347</v>
      </c>
      <c r="F284" s="443">
        <v>45466</v>
      </c>
      <c r="G284" s="445">
        <v>31</v>
      </c>
      <c r="H284" s="444">
        <v>0</v>
      </c>
      <c r="I284" s="444">
        <v>4</v>
      </c>
      <c r="J284" s="444">
        <v>2</v>
      </c>
      <c r="K284" s="444">
        <v>25</v>
      </c>
      <c r="L284" s="446"/>
      <c r="M284" s="446">
        <v>31</v>
      </c>
      <c r="N284" s="780"/>
      <c r="O284" s="442" t="s">
        <v>1837</v>
      </c>
      <c r="P284" s="444"/>
    </row>
    <row r="285" spans="1:16" s="293" customFormat="1" ht="20.100000000000001" customHeight="1">
      <c r="A285" s="447">
        <v>280</v>
      </c>
      <c r="B285" s="440" t="s">
        <v>1361</v>
      </c>
      <c r="C285" s="441" t="s">
        <v>1362</v>
      </c>
      <c r="D285" s="442" t="s">
        <v>463</v>
      </c>
      <c r="E285" s="442" t="s">
        <v>74</v>
      </c>
      <c r="F285" s="443">
        <v>45467</v>
      </c>
      <c r="G285" s="445">
        <v>31</v>
      </c>
      <c r="H285" s="444">
        <v>0</v>
      </c>
      <c r="I285" s="444">
        <v>4</v>
      </c>
      <c r="J285" s="444">
        <v>2</v>
      </c>
      <c r="K285" s="444">
        <v>25</v>
      </c>
      <c r="L285" s="446"/>
      <c r="M285" s="446">
        <v>31</v>
      </c>
      <c r="N285" s="780"/>
      <c r="O285" s="442" t="s">
        <v>1837</v>
      </c>
      <c r="P285" s="444"/>
    </row>
    <row r="286" spans="1:16" s="293" customFormat="1" ht="20.100000000000001" customHeight="1">
      <c r="A286" s="447">
        <v>281</v>
      </c>
      <c r="B286" s="440" t="s">
        <v>1373</v>
      </c>
      <c r="C286" s="441" t="s">
        <v>1374</v>
      </c>
      <c r="D286" s="442" t="s">
        <v>928</v>
      </c>
      <c r="E286" s="442" t="s">
        <v>1111</v>
      </c>
      <c r="F286" s="443">
        <v>45468</v>
      </c>
      <c r="G286" s="445">
        <v>31</v>
      </c>
      <c r="H286" s="444">
        <v>0</v>
      </c>
      <c r="I286" s="444">
        <v>4</v>
      </c>
      <c r="J286" s="444">
        <v>2</v>
      </c>
      <c r="K286" s="444">
        <v>25</v>
      </c>
      <c r="L286" s="446"/>
      <c r="M286" s="446">
        <v>31</v>
      </c>
      <c r="N286" s="780"/>
      <c r="O286" s="442" t="s">
        <v>1837</v>
      </c>
      <c r="P286" s="444"/>
    </row>
    <row r="287" spans="1:16" s="293" customFormat="1" ht="20.25" customHeight="1">
      <c r="A287" s="447">
        <v>282</v>
      </c>
      <c r="B287" s="440" t="s">
        <v>1375</v>
      </c>
      <c r="C287" s="441" t="s">
        <v>1376</v>
      </c>
      <c r="D287" s="442" t="s">
        <v>466</v>
      </c>
      <c r="E287" s="442" t="s">
        <v>137</v>
      </c>
      <c r="F287" s="443">
        <v>45444</v>
      </c>
      <c r="G287" s="445">
        <v>31</v>
      </c>
      <c r="H287" s="444">
        <v>0</v>
      </c>
      <c r="I287" s="444">
        <v>4</v>
      </c>
      <c r="J287" s="444">
        <v>2</v>
      </c>
      <c r="K287" s="444">
        <v>25</v>
      </c>
      <c r="L287" s="446"/>
      <c r="M287" s="446">
        <v>31</v>
      </c>
      <c r="N287" s="780"/>
      <c r="O287" s="442" t="s">
        <v>1841</v>
      </c>
      <c r="P287" s="444"/>
    </row>
    <row r="288" spans="1:16" s="293" customFormat="1" ht="20.25" customHeight="1">
      <c r="A288" s="447">
        <v>283</v>
      </c>
      <c r="B288" s="440" t="s">
        <v>1377</v>
      </c>
      <c r="C288" s="441" t="s">
        <v>1378</v>
      </c>
      <c r="D288" s="442" t="s">
        <v>1379</v>
      </c>
      <c r="E288" s="442" t="s">
        <v>203</v>
      </c>
      <c r="F288" s="443">
        <v>45444</v>
      </c>
      <c r="G288" s="445">
        <v>31</v>
      </c>
      <c r="H288" s="444">
        <v>0</v>
      </c>
      <c r="I288" s="444">
        <v>4</v>
      </c>
      <c r="J288" s="444">
        <v>2</v>
      </c>
      <c r="K288" s="444">
        <v>25</v>
      </c>
      <c r="L288" s="446"/>
      <c r="M288" s="446">
        <v>31</v>
      </c>
      <c r="N288" s="780"/>
      <c r="O288" s="442" t="s">
        <v>1842</v>
      </c>
      <c r="P288" s="444"/>
    </row>
    <row r="289" spans="1:16" s="293" customFormat="1" ht="20.25" customHeight="1">
      <c r="A289" s="447">
        <v>284</v>
      </c>
      <c r="B289" s="440" t="s">
        <v>1380</v>
      </c>
      <c r="C289" s="441" t="s">
        <v>1381</v>
      </c>
      <c r="D289" s="442" t="s">
        <v>432</v>
      </c>
      <c r="E289" s="442" t="s">
        <v>517</v>
      </c>
      <c r="F289" s="443">
        <v>45444</v>
      </c>
      <c r="G289" s="445">
        <v>31</v>
      </c>
      <c r="H289" s="444">
        <v>0</v>
      </c>
      <c r="I289" s="444">
        <v>4</v>
      </c>
      <c r="J289" s="444">
        <v>2</v>
      </c>
      <c r="K289" s="444">
        <v>25</v>
      </c>
      <c r="L289" s="446"/>
      <c r="M289" s="446">
        <v>31</v>
      </c>
      <c r="N289" s="780"/>
      <c r="O289" s="442" t="s">
        <v>1842</v>
      </c>
      <c r="P289" s="444"/>
    </row>
    <row r="290" spans="1:16" s="293" customFormat="1" ht="20.25" customHeight="1">
      <c r="A290" s="447">
        <v>285</v>
      </c>
      <c r="B290" s="440" t="s">
        <v>1382</v>
      </c>
      <c r="C290" s="441" t="s">
        <v>1383</v>
      </c>
      <c r="D290" s="442" t="s">
        <v>423</v>
      </c>
      <c r="E290" s="442" t="s">
        <v>517</v>
      </c>
      <c r="F290" s="443">
        <v>45446</v>
      </c>
      <c r="G290" s="445">
        <v>31</v>
      </c>
      <c r="H290" s="444">
        <v>0</v>
      </c>
      <c r="I290" s="444">
        <v>4</v>
      </c>
      <c r="J290" s="444">
        <v>2</v>
      </c>
      <c r="K290" s="444">
        <v>25</v>
      </c>
      <c r="L290" s="446"/>
      <c r="M290" s="446">
        <v>31</v>
      </c>
      <c r="N290" s="780"/>
      <c r="O290" s="442" t="s">
        <v>1842</v>
      </c>
      <c r="P290" s="444"/>
    </row>
    <row r="291" spans="1:16" s="293" customFormat="1" ht="20.25" customHeight="1">
      <c r="A291" s="447">
        <v>286</v>
      </c>
      <c r="B291" s="440" t="s">
        <v>1431</v>
      </c>
      <c r="C291" s="441" t="s">
        <v>1187</v>
      </c>
      <c r="D291" s="442" t="s">
        <v>489</v>
      </c>
      <c r="E291" s="442" t="s">
        <v>1111</v>
      </c>
      <c r="F291" s="443">
        <v>45475</v>
      </c>
      <c r="G291" s="445">
        <v>31</v>
      </c>
      <c r="H291" s="444">
        <v>0</v>
      </c>
      <c r="I291" s="444">
        <v>4</v>
      </c>
      <c r="J291" s="444">
        <v>2</v>
      </c>
      <c r="K291" s="444">
        <v>25</v>
      </c>
      <c r="L291" s="446"/>
      <c r="M291" s="446">
        <v>31</v>
      </c>
      <c r="N291" s="780"/>
      <c r="O291" s="442" t="s">
        <v>1842</v>
      </c>
      <c r="P291" s="444"/>
    </row>
    <row r="292" spans="1:16" s="293" customFormat="1" ht="20.25" customHeight="1">
      <c r="A292" s="447">
        <v>287</v>
      </c>
      <c r="B292" s="440" t="s">
        <v>1432</v>
      </c>
      <c r="C292" s="441" t="s">
        <v>1433</v>
      </c>
      <c r="D292" s="442" t="s">
        <v>928</v>
      </c>
      <c r="E292" s="442" t="s">
        <v>1111</v>
      </c>
      <c r="F292" s="443">
        <v>45475</v>
      </c>
      <c r="G292" s="445">
        <v>31</v>
      </c>
      <c r="H292" s="444">
        <v>0</v>
      </c>
      <c r="I292" s="444">
        <v>4</v>
      </c>
      <c r="J292" s="444">
        <v>2</v>
      </c>
      <c r="K292" s="444">
        <v>25</v>
      </c>
      <c r="L292" s="446"/>
      <c r="M292" s="446">
        <v>31</v>
      </c>
      <c r="N292" s="780"/>
      <c r="O292" s="442" t="s">
        <v>1842</v>
      </c>
      <c r="P292" s="444"/>
    </row>
    <row r="293" spans="1:16" s="293" customFormat="1" ht="20.25" customHeight="1">
      <c r="A293" s="447">
        <v>288</v>
      </c>
      <c r="B293" s="440" t="s">
        <v>1434</v>
      </c>
      <c r="C293" s="441" t="s">
        <v>1435</v>
      </c>
      <c r="D293" s="442" t="s">
        <v>928</v>
      </c>
      <c r="E293" s="442" t="s">
        <v>1111</v>
      </c>
      <c r="F293" s="443">
        <v>45475</v>
      </c>
      <c r="G293" s="445">
        <v>31</v>
      </c>
      <c r="H293" s="444">
        <v>0</v>
      </c>
      <c r="I293" s="444">
        <v>4</v>
      </c>
      <c r="J293" s="444">
        <v>2</v>
      </c>
      <c r="K293" s="444">
        <v>25</v>
      </c>
      <c r="L293" s="446"/>
      <c r="M293" s="446">
        <v>31</v>
      </c>
      <c r="N293" s="780"/>
      <c r="O293" s="442" t="s">
        <v>1842</v>
      </c>
      <c r="P293" s="444"/>
    </row>
    <row r="294" spans="1:16" s="293" customFormat="1" ht="20.25" customHeight="1">
      <c r="A294" s="447">
        <v>289</v>
      </c>
      <c r="B294" s="440" t="s">
        <v>1436</v>
      </c>
      <c r="C294" s="441" t="s">
        <v>1437</v>
      </c>
      <c r="D294" s="442" t="s">
        <v>928</v>
      </c>
      <c r="E294" s="442" t="s">
        <v>1111</v>
      </c>
      <c r="F294" s="443">
        <v>45475</v>
      </c>
      <c r="G294" s="445">
        <v>31</v>
      </c>
      <c r="H294" s="444">
        <v>0</v>
      </c>
      <c r="I294" s="444">
        <v>4</v>
      </c>
      <c r="J294" s="444">
        <v>2</v>
      </c>
      <c r="K294" s="444">
        <v>25</v>
      </c>
      <c r="L294" s="446"/>
      <c r="M294" s="446">
        <v>31</v>
      </c>
      <c r="N294" s="780"/>
      <c r="O294" s="442" t="s">
        <v>1842</v>
      </c>
      <c r="P294" s="444"/>
    </row>
    <row r="295" spans="1:16" s="293" customFormat="1" ht="20.25" customHeight="1">
      <c r="A295" s="447">
        <v>290</v>
      </c>
      <c r="B295" s="440" t="s">
        <v>1438</v>
      </c>
      <c r="C295" s="441" t="s">
        <v>1439</v>
      </c>
      <c r="D295" s="442" t="s">
        <v>928</v>
      </c>
      <c r="E295" s="442" t="s">
        <v>1111</v>
      </c>
      <c r="F295" s="443">
        <v>45475</v>
      </c>
      <c r="G295" s="445">
        <v>31</v>
      </c>
      <c r="H295" s="444">
        <v>0</v>
      </c>
      <c r="I295" s="444">
        <v>4</v>
      </c>
      <c r="J295" s="444">
        <v>2</v>
      </c>
      <c r="K295" s="444">
        <v>25</v>
      </c>
      <c r="L295" s="446"/>
      <c r="M295" s="446">
        <v>31</v>
      </c>
      <c r="N295" s="780"/>
      <c r="O295" s="442" t="s">
        <v>1842</v>
      </c>
      <c r="P295" s="444"/>
    </row>
    <row r="296" spans="1:16" s="293" customFormat="1" ht="20.25" customHeight="1">
      <c r="A296" s="447">
        <v>291</v>
      </c>
      <c r="B296" s="440" t="s">
        <v>1440</v>
      </c>
      <c r="C296" s="441" t="s">
        <v>1441</v>
      </c>
      <c r="D296" s="442" t="s">
        <v>542</v>
      </c>
      <c r="E296" s="442" t="s">
        <v>1111</v>
      </c>
      <c r="F296" s="443">
        <v>45475</v>
      </c>
      <c r="G296" s="445">
        <v>31</v>
      </c>
      <c r="H296" s="444">
        <v>0</v>
      </c>
      <c r="I296" s="444">
        <v>4</v>
      </c>
      <c r="J296" s="444">
        <v>2</v>
      </c>
      <c r="K296" s="444">
        <v>25</v>
      </c>
      <c r="L296" s="446"/>
      <c r="M296" s="446">
        <v>31</v>
      </c>
      <c r="N296" s="780"/>
      <c r="O296" s="442" t="s">
        <v>1842</v>
      </c>
      <c r="P296" s="444"/>
    </row>
    <row r="297" spans="1:16" s="293" customFormat="1" ht="20.25" customHeight="1">
      <c r="A297" s="447">
        <v>292</v>
      </c>
      <c r="B297" s="440" t="s">
        <v>1442</v>
      </c>
      <c r="C297" s="441" t="s">
        <v>1443</v>
      </c>
      <c r="D297" s="442" t="s">
        <v>542</v>
      </c>
      <c r="E297" s="442" t="s">
        <v>1111</v>
      </c>
      <c r="F297" s="443">
        <v>45475</v>
      </c>
      <c r="G297" s="445">
        <v>31</v>
      </c>
      <c r="H297" s="444">
        <v>0</v>
      </c>
      <c r="I297" s="444">
        <v>4</v>
      </c>
      <c r="J297" s="444">
        <v>2</v>
      </c>
      <c r="K297" s="444">
        <v>25</v>
      </c>
      <c r="L297" s="446"/>
      <c r="M297" s="446">
        <v>31</v>
      </c>
      <c r="N297" s="780"/>
      <c r="O297" s="442" t="s">
        <v>1842</v>
      </c>
      <c r="P297" s="444"/>
    </row>
    <row r="298" spans="1:16" s="293" customFormat="1" ht="20.25" customHeight="1">
      <c r="A298" s="447">
        <v>293</v>
      </c>
      <c r="B298" s="440" t="s">
        <v>1444</v>
      </c>
      <c r="C298" s="441" t="s">
        <v>1445</v>
      </c>
      <c r="D298" s="442" t="s">
        <v>540</v>
      </c>
      <c r="E298" s="442" t="s">
        <v>1111</v>
      </c>
      <c r="F298" s="443">
        <v>45475</v>
      </c>
      <c r="G298" s="445">
        <v>31</v>
      </c>
      <c r="H298" s="444">
        <v>0</v>
      </c>
      <c r="I298" s="444">
        <v>4</v>
      </c>
      <c r="J298" s="444">
        <v>2</v>
      </c>
      <c r="K298" s="444">
        <v>25</v>
      </c>
      <c r="L298" s="446"/>
      <c r="M298" s="446">
        <v>31</v>
      </c>
      <c r="N298" s="780"/>
      <c r="O298" s="442" t="s">
        <v>1842</v>
      </c>
      <c r="P298" s="444"/>
    </row>
    <row r="299" spans="1:16" s="293" customFormat="1" ht="20.25" customHeight="1">
      <c r="A299" s="447">
        <v>294</v>
      </c>
      <c r="B299" s="440" t="s">
        <v>1446</v>
      </c>
      <c r="C299" s="441" t="s">
        <v>1447</v>
      </c>
      <c r="D299" s="442" t="s">
        <v>1448</v>
      </c>
      <c r="E299" s="442" t="s">
        <v>1111</v>
      </c>
      <c r="F299" s="443">
        <v>45479</v>
      </c>
      <c r="G299" s="445">
        <v>31</v>
      </c>
      <c r="H299" s="444">
        <v>0</v>
      </c>
      <c r="I299" s="444">
        <v>4</v>
      </c>
      <c r="J299" s="444">
        <v>2</v>
      </c>
      <c r="K299" s="444">
        <v>25</v>
      </c>
      <c r="L299" s="446"/>
      <c r="M299" s="446">
        <v>31</v>
      </c>
      <c r="N299" s="780"/>
      <c r="O299" s="442" t="s">
        <v>1842</v>
      </c>
      <c r="P299" s="444"/>
    </row>
    <row r="300" spans="1:16" s="293" customFormat="1" ht="20.25" customHeight="1">
      <c r="A300" s="447">
        <v>295</v>
      </c>
      <c r="B300" s="440" t="s">
        <v>1449</v>
      </c>
      <c r="C300" s="441" t="s">
        <v>1450</v>
      </c>
      <c r="D300" s="442" t="s">
        <v>437</v>
      </c>
      <c r="E300" s="442" t="s">
        <v>70</v>
      </c>
      <c r="F300" s="443">
        <v>45477</v>
      </c>
      <c r="G300" s="445">
        <v>31</v>
      </c>
      <c r="H300" s="444">
        <v>0</v>
      </c>
      <c r="I300" s="444">
        <v>4</v>
      </c>
      <c r="J300" s="444">
        <v>2</v>
      </c>
      <c r="K300" s="444">
        <v>25</v>
      </c>
      <c r="L300" s="446"/>
      <c r="M300" s="446">
        <v>31</v>
      </c>
      <c r="N300" s="780"/>
      <c r="O300" s="442" t="s">
        <v>1842</v>
      </c>
      <c r="P300" s="444"/>
    </row>
    <row r="301" spans="1:16" s="293" customFormat="1" ht="20.25" customHeight="1">
      <c r="A301" s="447">
        <v>296</v>
      </c>
      <c r="B301" s="440" t="s">
        <v>1451</v>
      </c>
      <c r="C301" s="441" t="s">
        <v>1452</v>
      </c>
      <c r="D301" s="442" t="s">
        <v>1453</v>
      </c>
      <c r="E301" s="442" t="s">
        <v>1111</v>
      </c>
      <c r="F301" s="443">
        <v>45444</v>
      </c>
      <c r="G301" s="445">
        <v>31</v>
      </c>
      <c r="H301" s="444">
        <v>0</v>
      </c>
      <c r="I301" s="444">
        <v>4</v>
      </c>
      <c r="J301" s="444">
        <v>2</v>
      </c>
      <c r="K301" s="444">
        <v>25</v>
      </c>
      <c r="L301" s="446"/>
      <c r="M301" s="446">
        <v>31</v>
      </c>
      <c r="N301" s="780"/>
      <c r="O301" s="442" t="s">
        <v>1842</v>
      </c>
      <c r="P301" s="444"/>
    </row>
    <row r="302" spans="1:16" s="293" customFormat="1" ht="20.25" customHeight="1">
      <c r="A302" s="447">
        <v>297</v>
      </c>
      <c r="B302" s="440" t="s">
        <v>1454</v>
      </c>
      <c r="C302" s="441" t="s">
        <v>1455</v>
      </c>
      <c r="D302" s="442" t="s">
        <v>542</v>
      </c>
      <c r="E302" s="442" t="s">
        <v>1111</v>
      </c>
      <c r="F302" s="443">
        <v>45483</v>
      </c>
      <c r="G302" s="445">
        <v>31</v>
      </c>
      <c r="H302" s="444">
        <v>0</v>
      </c>
      <c r="I302" s="444">
        <v>4</v>
      </c>
      <c r="J302" s="444">
        <v>2</v>
      </c>
      <c r="K302" s="444">
        <v>25</v>
      </c>
      <c r="L302" s="446"/>
      <c r="M302" s="446">
        <v>31</v>
      </c>
      <c r="N302" s="780"/>
      <c r="O302" s="442" t="s">
        <v>1842</v>
      </c>
      <c r="P302" s="444"/>
    </row>
    <row r="303" spans="1:16" s="293" customFormat="1" ht="20.25" customHeight="1">
      <c r="A303" s="447">
        <v>298</v>
      </c>
      <c r="B303" s="440" t="s">
        <v>1456</v>
      </c>
      <c r="C303" s="441" t="s">
        <v>1457</v>
      </c>
      <c r="D303" s="442" t="s">
        <v>466</v>
      </c>
      <c r="E303" s="442" t="s">
        <v>137</v>
      </c>
      <c r="F303" s="443">
        <v>45474</v>
      </c>
      <c r="G303" s="445">
        <v>31</v>
      </c>
      <c r="H303" s="444">
        <v>0</v>
      </c>
      <c r="I303" s="444">
        <v>4</v>
      </c>
      <c r="J303" s="444">
        <v>2</v>
      </c>
      <c r="K303" s="444">
        <v>25</v>
      </c>
      <c r="L303" s="446"/>
      <c r="M303" s="446">
        <v>31</v>
      </c>
      <c r="N303" s="780"/>
      <c r="O303" s="442" t="s">
        <v>1842</v>
      </c>
      <c r="P303" s="444"/>
    </row>
    <row r="304" spans="1:16" s="293" customFormat="1" ht="20.25" customHeight="1">
      <c r="A304" s="447">
        <v>299</v>
      </c>
      <c r="B304" s="440" t="s">
        <v>1458</v>
      </c>
      <c r="C304" s="441" t="s">
        <v>1082</v>
      </c>
      <c r="D304" s="442" t="s">
        <v>1459</v>
      </c>
      <c r="E304" s="442" t="s">
        <v>97</v>
      </c>
      <c r="F304" s="443">
        <v>45474</v>
      </c>
      <c r="G304" s="445">
        <v>31</v>
      </c>
      <c r="H304" s="444">
        <v>0</v>
      </c>
      <c r="I304" s="444">
        <v>4</v>
      </c>
      <c r="J304" s="444">
        <v>2</v>
      </c>
      <c r="K304" s="444">
        <v>25</v>
      </c>
      <c r="L304" s="446"/>
      <c r="M304" s="446">
        <v>31</v>
      </c>
      <c r="N304" s="780"/>
      <c r="O304" s="442" t="s">
        <v>1842</v>
      </c>
      <c r="P304" s="444"/>
    </row>
    <row r="305" spans="1:16" s="293" customFormat="1" ht="20.25" customHeight="1">
      <c r="A305" s="447">
        <v>300</v>
      </c>
      <c r="B305" s="440" t="s">
        <v>1460</v>
      </c>
      <c r="C305" s="441" t="s">
        <v>1310</v>
      </c>
      <c r="D305" s="442" t="s">
        <v>435</v>
      </c>
      <c r="E305" s="442" t="s">
        <v>97</v>
      </c>
      <c r="F305" s="443">
        <v>45479</v>
      </c>
      <c r="G305" s="445">
        <v>31</v>
      </c>
      <c r="H305" s="444">
        <v>0</v>
      </c>
      <c r="I305" s="444">
        <v>4</v>
      </c>
      <c r="J305" s="444">
        <v>2</v>
      </c>
      <c r="K305" s="444">
        <v>25</v>
      </c>
      <c r="L305" s="446"/>
      <c r="M305" s="446">
        <v>31</v>
      </c>
      <c r="N305" s="780"/>
      <c r="O305" s="442" t="s">
        <v>1842</v>
      </c>
      <c r="P305" s="444"/>
    </row>
    <row r="306" spans="1:16" s="293" customFormat="1" ht="20.25" customHeight="1">
      <c r="A306" s="447">
        <v>301</v>
      </c>
      <c r="B306" s="440" t="s">
        <v>1461</v>
      </c>
      <c r="C306" s="441" t="s">
        <v>1462</v>
      </c>
      <c r="D306" s="442" t="s">
        <v>435</v>
      </c>
      <c r="E306" s="442" t="s">
        <v>97</v>
      </c>
      <c r="F306" s="443">
        <v>45477</v>
      </c>
      <c r="G306" s="445">
        <v>31</v>
      </c>
      <c r="H306" s="444">
        <v>0</v>
      </c>
      <c r="I306" s="444">
        <v>4</v>
      </c>
      <c r="J306" s="444">
        <v>2</v>
      </c>
      <c r="K306" s="444">
        <v>25</v>
      </c>
      <c r="L306" s="446"/>
      <c r="M306" s="446">
        <v>31</v>
      </c>
      <c r="N306" s="780"/>
      <c r="O306" s="442" t="s">
        <v>1842</v>
      </c>
      <c r="P306" s="444"/>
    </row>
    <row r="307" spans="1:16" s="293" customFormat="1" ht="20.25" customHeight="1">
      <c r="A307" s="447">
        <v>302</v>
      </c>
      <c r="B307" s="440" t="s">
        <v>1606</v>
      </c>
      <c r="C307" s="441" t="s">
        <v>1607</v>
      </c>
      <c r="D307" s="442" t="s">
        <v>928</v>
      </c>
      <c r="E307" s="442" t="s">
        <v>1111</v>
      </c>
      <c r="F307" s="443">
        <v>45505</v>
      </c>
      <c r="G307" s="445">
        <v>31</v>
      </c>
      <c r="H307" s="444">
        <v>0</v>
      </c>
      <c r="I307" s="444">
        <v>4</v>
      </c>
      <c r="J307" s="444">
        <v>2</v>
      </c>
      <c r="K307" s="444">
        <v>25</v>
      </c>
      <c r="L307" s="446"/>
      <c r="M307" s="446">
        <v>31</v>
      </c>
      <c r="N307" s="780"/>
      <c r="O307" s="442" t="s">
        <v>1842</v>
      </c>
      <c r="P307" s="444"/>
    </row>
    <row r="308" spans="1:16" s="293" customFormat="1" ht="20.25" customHeight="1">
      <c r="A308" s="447">
        <v>303</v>
      </c>
      <c r="B308" s="440" t="s">
        <v>1608</v>
      </c>
      <c r="C308" s="441" t="s">
        <v>1609</v>
      </c>
      <c r="D308" s="442" t="s">
        <v>1155</v>
      </c>
      <c r="E308" s="442" t="s">
        <v>1287</v>
      </c>
      <c r="F308" s="443">
        <v>45505</v>
      </c>
      <c r="G308" s="445">
        <v>31</v>
      </c>
      <c r="H308" s="444">
        <v>0</v>
      </c>
      <c r="I308" s="444">
        <v>4</v>
      </c>
      <c r="J308" s="444">
        <v>2</v>
      </c>
      <c r="K308" s="444">
        <v>25</v>
      </c>
      <c r="L308" s="446"/>
      <c r="M308" s="446">
        <v>31</v>
      </c>
      <c r="N308" s="780"/>
      <c r="O308" s="442" t="s">
        <v>1842</v>
      </c>
      <c r="P308" s="444"/>
    </row>
    <row r="309" spans="1:16" s="293" customFormat="1" ht="18" customHeight="1">
      <c r="A309" s="447">
        <v>304</v>
      </c>
      <c r="B309" s="440" t="s">
        <v>1610</v>
      </c>
      <c r="C309" s="441" t="s">
        <v>1611</v>
      </c>
      <c r="D309" s="442" t="s">
        <v>928</v>
      </c>
      <c r="E309" s="442" t="s">
        <v>1111</v>
      </c>
      <c r="F309" s="443">
        <v>45505</v>
      </c>
      <c r="G309" s="445">
        <v>31</v>
      </c>
      <c r="H309" s="444">
        <v>0</v>
      </c>
      <c r="I309" s="444">
        <v>4</v>
      </c>
      <c r="J309" s="444">
        <v>2</v>
      </c>
      <c r="K309" s="444">
        <v>25</v>
      </c>
      <c r="L309" s="446"/>
      <c r="M309" s="446">
        <v>31</v>
      </c>
      <c r="N309" s="780"/>
      <c r="O309" s="442" t="s">
        <v>1842</v>
      </c>
      <c r="P309" s="444"/>
    </row>
    <row r="310" spans="1:16" s="293" customFormat="1" ht="18" customHeight="1">
      <c r="A310" s="447">
        <v>305</v>
      </c>
      <c r="B310" s="440" t="s">
        <v>1612</v>
      </c>
      <c r="C310" s="441" t="s">
        <v>1613</v>
      </c>
      <c r="D310" s="442" t="s">
        <v>604</v>
      </c>
      <c r="E310" s="442" t="s">
        <v>1111</v>
      </c>
      <c r="F310" s="443">
        <v>45507</v>
      </c>
      <c r="G310" s="445">
        <v>31</v>
      </c>
      <c r="H310" s="444">
        <v>0</v>
      </c>
      <c r="I310" s="444">
        <v>4</v>
      </c>
      <c r="J310" s="444">
        <v>2</v>
      </c>
      <c r="K310" s="444">
        <v>25</v>
      </c>
      <c r="L310" s="446"/>
      <c r="M310" s="446">
        <v>31</v>
      </c>
      <c r="N310" s="780"/>
      <c r="O310" s="442" t="s">
        <v>1842</v>
      </c>
      <c r="P310" s="444"/>
    </row>
    <row r="311" spans="1:16" s="293" customFormat="1" ht="18" customHeight="1">
      <c r="A311" s="447">
        <v>306</v>
      </c>
      <c r="B311" s="440" t="s">
        <v>1623</v>
      </c>
      <c r="C311" s="441" t="s">
        <v>1624</v>
      </c>
      <c r="D311" s="442" t="s">
        <v>423</v>
      </c>
      <c r="E311" s="442" t="s">
        <v>1184</v>
      </c>
      <c r="F311" s="443">
        <v>44075</v>
      </c>
      <c r="G311" s="445">
        <v>31</v>
      </c>
      <c r="H311" s="444">
        <v>0</v>
      </c>
      <c r="I311" s="444">
        <v>4</v>
      </c>
      <c r="J311" s="444">
        <v>2</v>
      </c>
      <c r="K311" s="444">
        <v>25</v>
      </c>
      <c r="L311" s="446"/>
      <c r="M311" s="446">
        <v>31</v>
      </c>
      <c r="N311" s="780"/>
      <c r="O311" s="442" t="s">
        <v>1842</v>
      </c>
      <c r="P311" s="444"/>
    </row>
    <row r="312" spans="1:16" s="293" customFormat="1" ht="18" customHeight="1">
      <c r="A312" s="447">
        <v>307</v>
      </c>
      <c r="B312" s="440" t="s">
        <v>1614</v>
      </c>
      <c r="C312" s="441" t="s">
        <v>1615</v>
      </c>
      <c r="D312" s="442" t="s">
        <v>542</v>
      </c>
      <c r="E312" s="442" t="s">
        <v>517</v>
      </c>
      <c r="F312" s="443">
        <v>45514</v>
      </c>
      <c r="G312" s="445">
        <v>31</v>
      </c>
      <c r="H312" s="444">
        <v>2</v>
      </c>
      <c r="I312" s="444">
        <v>4</v>
      </c>
      <c r="J312" s="444">
        <v>2</v>
      </c>
      <c r="K312" s="444">
        <v>23</v>
      </c>
      <c r="L312" s="446"/>
      <c r="M312" s="446">
        <v>31</v>
      </c>
      <c r="N312" s="780"/>
      <c r="O312" s="442" t="s">
        <v>1842</v>
      </c>
      <c r="P312" s="444"/>
    </row>
    <row r="313" spans="1:16" s="293" customFormat="1" ht="18" customHeight="1">
      <c r="A313" s="447">
        <v>308</v>
      </c>
      <c r="B313" s="440" t="s">
        <v>1625</v>
      </c>
      <c r="C313" s="441" t="s">
        <v>1360</v>
      </c>
      <c r="D313" s="442" t="s">
        <v>604</v>
      </c>
      <c r="E313" s="442" t="s">
        <v>517</v>
      </c>
      <c r="F313" s="443">
        <v>45468</v>
      </c>
      <c r="G313" s="445">
        <v>31</v>
      </c>
      <c r="H313" s="444">
        <v>0</v>
      </c>
      <c r="I313" s="444">
        <v>4</v>
      </c>
      <c r="J313" s="444">
        <v>2</v>
      </c>
      <c r="K313" s="444">
        <v>25</v>
      </c>
      <c r="L313" s="446"/>
      <c r="M313" s="446">
        <v>31</v>
      </c>
      <c r="N313" s="780"/>
      <c r="O313" s="442" t="s">
        <v>1842</v>
      </c>
      <c r="P313" s="444"/>
    </row>
    <row r="314" spans="1:16" s="293" customFormat="1" ht="18" customHeight="1">
      <c r="A314" s="447">
        <v>309</v>
      </c>
      <c r="B314" s="440" t="s">
        <v>1626</v>
      </c>
      <c r="C314" s="441" t="s">
        <v>1627</v>
      </c>
      <c r="D314" s="442" t="s">
        <v>542</v>
      </c>
      <c r="E314" s="442" t="s">
        <v>517</v>
      </c>
      <c r="F314" s="443">
        <v>45536</v>
      </c>
      <c r="G314" s="445">
        <v>31</v>
      </c>
      <c r="H314" s="444">
        <v>4</v>
      </c>
      <c r="I314" s="444">
        <v>4</v>
      </c>
      <c r="J314" s="444">
        <v>2</v>
      </c>
      <c r="K314" s="444">
        <v>21</v>
      </c>
      <c r="L314" s="446"/>
      <c r="M314" s="446">
        <v>31</v>
      </c>
      <c r="N314" s="780"/>
      <c r="O314" s="442" t="s">
        <v>1842</v>
      </c>
      <c r="P314" s="444"/>
    </row>
    <row r="315" spans="1:16" s="293" customFormat="1" ht="18" customHeight="1">
      <c r="A315" s="447">
        <v>310</v>
      </c>
      <c r="B315" s="440" t="s">
        <v>1628</v>
      </c>
      <c r="C315" s="441" t="s">
        <v>1629</v>
      </c>
      <c r="D315" s="442" t="s">
        <v>452</v>
      </c>
      <c r="E315" s="442" t="s">
        <v>517</v>
      </c>
      <c r="F315" s="443">
        <v>45536</v>
      </c>
      <c r="G315" s="445">
        <v>31</v>
      </c>
      <c r="H315" s="444">
        <v>0</v>
      </c>
      <c r="I315" s="444">
        <v>4</v>
      </c>
      <c r="J315" s="444">
        <v>2</v>
      </c>
      <c r="K315" s="444">
        <v>0</v>
      </c>
      <c r="L315" s="446">
        <v>25</v>
      </c>
      <c r="M315" s="446">
        <v>6</v>
      </c>
      <c r="N315" s="780"/>
      <c r="O315" s="442" t="s">
        <v>1842</v>
      </c>
      <c r="P315" s="444" t="s">
        <v>1664</v>
      </c>
    </row>
    <row r="316" spans="1:16" s="293" customFormat="1" ht="18" customHeight="1">
      <c r="A316" s="447">
        <v>311</v>
      </c>
      <c r="B316" s="440" t="s">
        <v>1643</v>
      </c>
      <c r="C316" s="441" t="s">
        <v>1653</v>
      </c>
      <c r="D316" s="442" t="s">
        <v>542</v>
      </c>
      <c r="E316" s="442" t="s">
        <v>517</v>
      </c>
      <c r="F316" s="443">
        <v>45566</v>
      </c>
      <c r="G316" s="445">
        <v>31</v>
      </c>
      <c r="H316" s="444">
        <v>0</v>
      </c>
      <c r="I316" s="444">
        <v>4</v>
      </c>
      <c r="J316" s="444">
        <v>2</v>
      </c>
      <c r="K316" s="444">
        <v>25</v>
      </c>
      <c r="L316" s="446"/>
      <c r="M316" s="446">
        <v>31</v>
      </c>
      <c r="N316" s="780"/>
      <c r="O316" s="442" t="s">
        <v>1842</v>
      </c>
      <c r="P316" s="444"/>
    </row>
    <row r="317" spans="1:16" s="293" customFormat="1" ht="18" customHeight="1">
      <c r="A317" s="447">
        <v>312</v>
      </c>
      <c r="B317" s="440" t="s">
        <v>1644</v>
      </c>
      <c r="C317" s="441" t="s">
        <v>1654</v>
      </c>
      <c r="D317" s="442" t="s">
        <v>542</v>
      </c>
      <c r="E317" s="442" t="s">
        <v>517</v>
      </c>
      <c r="F317" s="443">
        <v>45566</v>
      </c>
      <c r="G317" s="445">
        <v>31</v>
      </c>
      <c r="H317" s="444">
        <v>0</v>
      </c>
      <c r="I317" s="444">
        <v>4</v>
      </c>
      <c r="J317" s="444">
        <v>2</v>
      </c>
      <c r="K317" s="444">
        <v>25</v>
      </c>
      <c r="L317" s="446"/>
      <c r="M317" s="446">
        <v>31</v>
      </c>
      <c r="N317" s="780"/>
      <c r="O317" s="442" t="s">
        <v>1842</v>
      </c>
      <c r="P317" s="444"/>
    </row>
    <row r="318" spans="1:16" s="293" customFormat="1" ht="18" customHeight="1">
      <c r="A318" s="447">
        <v>313</v>
      </c>
      <c r="B318" s="440" t="s">
        <v>1645</v>
      </c>
      <c r="C318" s="441" t="s">
        <v>912</v>
      </c>
      <c r="D318" s="442" t="s">
        <v>928</v>
      </c>
      <c r="E318" s="442" t="s">
        <v>517</v>
      </c>
      <c r="F318" s="443">
        <v>45566</v>
      </c>
      <c r="G318" s="445">
        <v>31</v>
      </c>
      <c r="H318" s="444">
        <v>0</v>
      </c>
      <c r="I318" s="444">
        <v>4</v>
      </c>
      <c r="J318" s="444">
        <v>2</v>
      </c>
      <c r="K318" s="444">
        <v>25</v>
      </c>
      <c r="L318" s="446"/>
      <c r="M318" s="446">
        <v>31</v>
      </c>
      <c r="N318" s="780"/>
      <c r="O318" s="442" t="s">
        <v>1842</v>
      </c>
      <c r="P318" s="444"/>
    </row>
    <row r="319" spans="1:16" s="293" customFormat="1" ht="18" customHeight="1">
      <c r="A319" s="447">
        <v>314</v>
      </c>
      <c r="B319" s="440" t="s">
        <v>1666</v>
      </c>
      <c r="C319" s="441" t="s">
        <v>1667</v>
      </c>
      <c r="D319" s="442" t="s">
        <v>928</v>
      </c>
      <c r="E319" s="442" t="s">
        <v>1111</v>
      </c>
      <c r="F319" s="443">
        <v>45566</v>
      </c>
      <c r="G319" s="445">
        <v>31</v>
      </c>
      <c r="H319" s="444">
        <v>0</v>
      </c>
      <c r="I319" s="444">
        <v>4</v>
      </c>
      <c r="J319" s="444">
        <v>2</v>
      </c>
      <c r="K319" s="444">
        <v>25</v>
      </c>
      <c r="L319" s="446"/>
      <c r="M319" s="446">
        <v>31</v>
      </c>
      <c r="N319" s="780"/>
      <c r="O319" s="442" t="s">
        <v>1842</v>
      </c>
      <c r="P319" s="444"/>
    </row>
    <row r="320" spans="1:16" s="293" customFormat="1" ht="18" customHeight="1">
      <c r="A320" s="447">
        <v>315</v>
      </c>
      <c r="B320" s="440" t="s">
        <v>1646</v>
      </c>
      <c r="C320" s="441" t="s">
        <v>1655</v>
      </c>
      <c r="D320" s="442" t="s">
        <v>542</v>
      </c>
      <c r="E320" s="442" t="s">
        <v>517</v>
      </c>
      <c r="F320" s="443">
        <v>45568</v>
      </c>
      <c r="G320" s="445">
        <v>31</v>
      </c>
      <c r="H320" s="444">
        <v>0</v>
      </c>
      <c r="I320" s="444">
        <v>4</v>
      </c>
      <c r="J320" s="444">
        <v>2</v>
      </c>
      <c r="K320" s="444">
        <v>25</v>
      </c>
      <c r="L320" s="446"/>
      <c r="M320" s="446">
        <v>31</v>
      </c>
      <c r="N320" s="780"/>
      <c r="O320" s="442" t="s">
        <v>1842</v>
      </c>
      <c r="P320" s="444"/>
    </row>
    <row r="321" spans="1:16" s="293" customFormat="1" ht="18" customHeight="1">
      <c r="A321" s="447">
        <v>316</v>
      </c>
      <c r="B321" s="440" t="s">
        <v>1647</v>
      </c>
      <c r="C321" s="441" t="s">
        <v>1656</v>
      </c>
      <c r="D321" s="442" t="s">
        <v>542</v>
      </c>
      <c r="E321" s="442" t="s">
        <v>517</v>
      </c>
      <c r="F321" s="443">
        <v>45568</v>
      </c>
      <c r="G321" s="445">
        <v>31</v>
      </c>
      <c r="H321" s="444">
        <v>0</v>
      </c>
      <c r="I321" s="444">
        <v>4</v>
      </c>
      <c r="J321" s="444">
        <v>2</v>
      </c>
      <c r="K321" s="444">
        <v>25</v>
      </c>
      <c r="L321" s="446"/>
      <c r="M321" s="446">
        <v>31</v>
      </c>
      <c r="N321" s="780"/>
      <c r="O321" s="442" t="s">
        <v>1842</v>
      </c>
      <c r="P321" s="444"/>
    </row>
    <row r="322" spans="1:16" s="293" customFormat="1" ht="18" customHeight="1">
      <c r="A322" s="447">
        <v>317</v>
      </c>
      <c r="B322" s="440" t="s">
        <v>1648</v>
      </c>
      <c r="C322" s="441" t="s">
        <v>1310</v>
      </c>
      <c r="D322" s="442" t="s">
        <v>1657</v>
      </c>
      <c r="E322" s="442" t="s">
        <v>517</v>
      </c>
      <c r="F322" s="443">
        <v>45568</v>
      </c>
      <c r="G322" s="445">
        <v>31</v>
      </c>
      <c r="H322" s="444">
        <v>0</v>
      </c>
      <c r="I322" s="444">
        <v>4</v>
      </c>
      <c r="J322" s="444">
        <v>2</v>
      </c>
      <c r="K322" s="444">
        <v>25</v>
      </c>
      <c r="L322" s="446"/>
      <c r="M322" s="446">
        <v>31</v>
      </c>
      <c r="N322" s="780"/>
      <c r="O322" s="442" t="s">
        <v>1842</v>
      </c>
      <c r="P322" s="444"/>
    </row>
    <row r="323" spans="1:16" s="293" customFormat="1" ht="18" customHeight="1">
      <c r="A323" s="447">
        <v>318</v>
      </c>
      <c r="B323" s="440" t="s">
        <v>1668</v>
      </c>
      <c r="C323" s="441" t="s">
        <v>1669</v>
      </c>
      <c r="D323" s="442" t="s">
        <v>1067</v>
      </c>
      <c r="E323" s="442" t="s">
        <v>97</v>
      </c>
      <c r="F323" s="443">
        <v>45573</v>
      </c>
      <c r="G323" s="445">
        <v>31</v>
      </c>
      <c r="H323" s="444">
        <v>0</v>
      </c>
      <c r="I323" s="444">
        <v>4</v>
      </c>
      <c r="J323" s="444">
        <v>2</v>
      </c>
      <c r="K323" s="444">
        <v>25</v>
      </c>
      <c r="L323" s="446"/>
      <c r="M323" s="446">
        <v>31</v>
      </c>
      <c r="N323" s="780"/>
      <c r="O323" s="442" t="s">
        <v>1842</v>
      </c>
      <c r="P323" s="444"/>
    </row>
    <row r="324" spans="1:16" s="293" customFormat="1" ht="45">
      <c r="A324" s="447">
        <v>319</v>
      </c>
      <c r="B324" s="440" t="s">
        <v>1670</v>
      </c>
      <c r="C324" s="441" t="s">
        <v>1671</v>
      </c>
      <c r="D324" s="442" t="s">
        <v>890</v>
      </c>
      <c r="E324" s="442" t="s">
        <v>203</v>
      </c>
      <c r="F324" s="443">
        <v>45577</v>
      </c>
      <c r="G324" s="445">
        <v>31</v>
      </c>
      <c r="H324" s="444">
        <v>0</v>
      </c>
      <c r="I324" s="444">
        <v>4</v>
      </c>
      <c r="J324" s="444">
        <v>2</v>
      </c>
      <c r="K324" s="444">
        <v>25</v>
      </c>
      <c r="L324" s="446"/>
      <c r="M324" s="446">
        <v>31</v>
      </c>
      <c r="N324" s="780"/>
      <c r="O324" s="442" t="s">
        <v>1842</v>
      </c>
      <c r="P324" s="444" t="s">
        <v>1843</v>
      </c>
    </row>
    <row r="325" spans="1:16" s="293" customFormat="1" ht="18" customHeight="1">
      <c r="A325" s="447">
        <v>320</v>
      </c>
      <c r="B325" s="440" t="s">
        <v>1649</v>
      </c>
      <c r="C325" s="441" t="s">
        <v>1658</v>
      </c>
      <c r="D325" s="442" t="s">
        <v>1659</v>
      </c>
      <c r="E325" s="442" t="s">
        <v>517</v>
      </c>
      <c r="F325" s="443">
        <v>45577</v>
      </c>
      <c r="G325" s="445">
        <v>31</v>
      </c>
      <c r="H325" s="444">
        <v>0</v>
      </c>
      <c r="I325" s="444">
        <v>4</v>
      </c>
      <c r="J325" s="444">
        <v>2</v>
      </c>
      <c r="K325" s="444">
        <v>25</v>
      </c>
      <c r="L325" s="446"/>
      <c r="M325" s="446">
        <v>31</v>
      </c>
      <c r="N325" s="780"/>
      <c r="O325" s="442" t="s">
        <v>1842</v>
      </c>
      <c r="P325" s="444"/>
    </row>
    <row r="326" spans="1:16" s="293" customFormat="1" ht="18" customHeight="1">
      <c r="A326" s="447">
        <v>321</v>
      </c>
      <c r="B326" s="440" t="s">
        <v>1650</v>
      </c>
      <c r="C326" s="441" t="s">
        <v>1660</v>
      </c>
      <c r="D326" s="442" t="s">
        <v>1661</v>
      </c>
      <c r="E326" s="442" t="s">
        <v>517</v>
      </c>
      <c r="F326" s="443">
        <v>45571</v>
      </c>
      <c r="G326" s="445">
        <v>31</v>
      </c>
      <c r="H326" s="444">
        <v>0</v>
      </c>
      <c r="I326" s="444">
        <v>4</v>
      </c>
      <c r="J326" s="444">
        <v>2</v>
      </c>
      <c r="K326" s="444">
        <v>25</v>
      </c>
      <c r="L326" s="446"/>
      <c r="M326" s="446">
        <v>31</v>
      </c>
      <c r="N326" s="780"/>
      <c r="O326" s="442" t="s">
        <v>1842</v>
      </c>
      <c r="P326" s="444"/>
    </row>
    <row r="327" spans="1:16" s="293" customFormat="1" ht="18" customHeight="1">
      <c r="A327" s="447">
        <v>322</v>
      </c>
      <c r="B327" s="440" t="s">
        <v>1672</v>
      </c>
      <c r="C327" s="441" t="s">
        <v>1673</v>
      </c>
      <c r="D327" s="442" t="s">
        <v>928</v>
      </c>
      <c r="E327" s="442" t="s">
        <v>203</v>
      </c>
      <c r="F327" s="443">
        <v>45580</v>
      </c>
      <c r="G327" s="445">
        <v>31</v>
      </c>
      <c r="H327" s="444">
        <v>0</v>
      </c>
      <c r="I327" s="444">
        <v>4</v>
      </c>
      <c r="J327" s="444">
        <v>2</v>
      </c>
      <c r="K327" s="444">
        <v>25</v>
      </c>
      <c r="L327" s="446"/>
      <c r="M327" s="446">
        <v>31</v>
      </c>
      <c r="N327" s="780"/>
      <c r="O327" s="442" t="s">
        <v>1842</v>
      </c>
      <c r="P327" s="444"/>
    </row>
    <row r="328" spans="1:16" s="293" customFormat="1" ht="18" customHeight="1">
      <c r="A328" s="447">
        <v>323</v>
      </c>
      <c r="B328" s="440" t="s">
        <v>1674</v>
      </c>
      <c r="C328" s="441" t="s">
        <v>1675</v>
      </c>
      <c r="D328" s="442" t="s">
        <v>928</v>
      </c>
      <c r="E328" s="442" t="s">
        <v>203</v>
      </c>
      <c r="F328" s="443">
        <v>45584</v>
      </c>
      <c r="G328" s="445">
        <v>31</v>
      </c>
      <c r="H328" s="444">
        <v>0</v>
      </c>
      <c r="I328" s="444">
        <v>4</v>
      </c>
      <c r="J328" s="444">
        <v>2</v>
      </c>
      <c r="K328" s="444">
        <v>25</v>
      </c>
      <c r="L328" s="446"/>
      <c r="M328" s="446">
        <v>31</v>
      </c>
      <c r="N328" s="780"/>
      <c r="O328" s="442" t="s">
        <v>1842</v>
      </c>
      <c r="P328" s="444"/>
    </row>
    <row r="329" spans="1:16" s="293" customFormat="1" ht="18" customHeight="1">
      <c r="A329" s="447">
        <v>324</v>
      </c>
      <c r="B329" s="440" t="s">
        <v>1651</v>
      </c>
      <c r="C329" s="441" t="s">
        <v>1662</v>
      </c>
      <c r="D329" s="442" t="s">
        <v>928</v>
      </c>
      <c r="E329" s="442" t="s">
        <v>517</v>
      </c>
      <c r="F329" s="443">
        <v>45579</v>
      </c>
      <c r="G329" s="445">
        <v>31</v>
      </c>
      <c r="H329" s="444">
        <v>0</v>
      </c>
      <c r="I329" s="444">
        <v>4</v>
      </c>
      <c r="J329" s="444">
        <v>2</v>
      </c>
      <c r="K329" s="444">
        <v>25</v>
      </c>
      <c r="L329" s="446"/>
      <c r="M329" s="446">
        <v>31</v>
      </c>
      <c r="N329" s="780"/>
      <c r="O329" s="442" t="s">
        <v>1842</v>
      </c>
      <c r="P329" s="444"/>
    </row>
    <row r="330" spans="1:16" s="293" customFormat="1" ht="18" customHeight="1">
      <c r="A330" s="447">
        <v>325</v>
      </c>
      <c r="B330" s="440" t="s">
        <v>1652</v>
      </c>
      <c r="C330" s="441" t="s">
        <v>1663</v>
      </c>
      <c r="D330" s="442" t="s">
        <v>890</v>
      </c>
      <c r="E330" s="442" t="s">
        <v>517</v>
      </c>
      <c r="F330" s="443">
        <v>45584</v>
      </c>
      <c r="G330" s="445">
        <v>31</v>
      </c>
      <c r="H330" s="444">
        <v>0</v>
      </c>
      <c r="I330" s="444">
        <v>4</v>
      </c>
      <c r="J330" s="444">
        <v>2</v>
      </c>
      <c r="K330" s="444">
        <v>25</v>
      </c>
      <c r="L330" s="446"/>
      <c r="M330" s="446">
        <v>31</v>
      </c>
      <c r="N330" s="780"/>
      <c r="O330" s="442" t="s">
        <v>1842</v>
      </c>
      <c r="P330" s="444"/>
    </row>
    <row r="331" spans="1:16" s="293" customFormat="1" ht="18" customHeight="1">
      <c r="A331" s="447">
        <v>326</v>
      </c>
      <c r="B331" s="440" t="s">
        <v>1676</v>
      </c>
      <c r="C331" s="441" t="s">
        <v>1677</v>
      </c>
      <c r="D331" s="442" t="s">
        <v>928</v>
      </c>
      <c r="E331" s="442" t="s">
        <v>203</v>
      </c>
      <c r="F331" s="443">
        <v>45591</v>
      </c>
      <c r="G331" s="445">
        <v>31</v>
      </c>
      <c r="H331" s="444">
        <v>0</v>
      </c>
      <c r="I331" s="444">
        <v>4</v>
      </c>
      <c r="J331" s="444">
        <v>2</v>
      </c>
      <c r="K331" s="444">
        <v>25</v>
      </c>
      <c r="L331" s="446"/>
      <c r="M331" s="446">
        <v>31</v>
      </c>
      <c r="N331" s="780"/>
      <c r="O331" s="442" t="s">
        <v>1842</v>
      </c>
      <c r="P331" s="444"/>
    </row>
    <row r="332" spans="1:16" s="293" customFormat="1" ht="18" customHeight="1">
      <c r="A332" s="447">
        <v>327</v>
      </c>
      <c r="B332" s="440" t="s">
        <v>1678</v>
      </c>
      <c r="C332" s="441" t="s">
        <v>1679</v>
      </c>
      <c r="D332" s="442" t="s">
        <v>466</v>
      </c>
      <c r="E332" s="442" t="s">
        <v>137</v>
      </c>
      <c r="F332" s="443">
        <v>45585</v>
      </c>
      <c r="G332" s="445">
        <v>31</v>
      </c>
      <c r="H332" s="444">
        <v>0</v>
      </c>
      <c r="I332" s="444">
        <v>4</v>
      </c>
      <c r="J332" s="444">
        <v>2</v>
      </c>
      <c r="K332" s="444">
        <v>25</v>
      </c>
      <c r="L332" s="446"/>
      <c r="M332" s="446">
        <v>31</v>
      </c>
      <c r="N332" s="780"/>
      <c r="O332" s="442" t="s">
        <v>1842</v>
      </c>
      <c r="P332" s="444"/>
    </row>
    <row r="333" spans="1:16" s="293" customFormat="1" ht="18" customHeight="1">
      <c r="A333" s="447">
        <v>328</v>
      </c>
      <c r="B333" s="440" t="s">
        <v>1784</v>
      </c>
      <c r="C333" s="441" t="s">
        <v>1785</v>
      </c>
      <c r="D333" s="442" t="s">
        <v>489</v>
      </c>
      <c r="E333" s="442" t="s">
        <v>517</v>
      </c>
      <c r="F333" s="443">
        <v>45598</v>
      </c>
      <c r="G333" s="445">
        <v>31</v>
      </c>
      <c r="H333" s="444">
        <v>2</v>
      </c>
      <c r="I333" s="444">
        <v>4</v>
      </c>
      <c r="J333" s="444">
        <v>2</v>
      </c>
      <c r="K333" s="444">
        <v>23</v>
      </c>
      <c r="L333" s="446"/>
      <c r="M333" s="446">
        <v>31</v>
      </c>
      <c r="N333" s="780"/>
      <c r="O333" s="442" t="s">
        <v>1842</v>
      </c>
      <c r="P333" s="444"/>
    </row>
    <row r="334" spans="1:16" s="293" customFormat="1" ht="18" customHeight="1">
      <c r="A334" s="447">
        <v>329</v>
      </c>
      <c r="B334" s="440" t="s">
        <v>1786</v>
      </c>
      <c r="C334" s="441" t="s">
        <v>1787</v>
      </c>
      <c r="D334" s="442" t="s">
        <v>542</v>
      </c>
      <c r="E334" s="442" t="s">
        <v>517</v>
      </c>
      <c r="F334" s="443">
        <v>45598</v>
      </c>
      <c r="G334" s="445">
        <v>31</v>
      </c>
      <c r="H334" s="444">
        <v>0</v>
      </c>
      <c r="I334" s="444">
        <v>4</v>
      </c>
      <c r="J334" s="444">
        <v>2</v>
      </c>
      <c r="K334" s="444">
        <v>25</v>
      </c>
      <c r="L334" s="446"/>
      <c r="M334" s="446">
        <v>31</v>
      </c>
      <c r="N334" s="780"/>
      <c r="O334" s="442" t="s">
        <v>1842</v>
      </c>
      <c r="P334" s="444"/>
    </row>
    <row r="335" spans="1:16" s="293" customFormat="1" ht="18" customHeight="1">
      <c r="A335" s="447">
        <v>330</v>
      </c>
      <c r="B335" s="440" t="s">
        <v>1788</v>
      </c>
      <c r="C335" s="441" t="s">
        <v>1789</v>
      </c>
      <c r="D335" s="442" t="s">
        <v>542</v>
      </c>
      <c r="E335" s="442" t="s">
        <v>517</v>
      </c>
      <c r="F335" s="443">
        <v>45598</v>
      </c>
      <c r="G335" s="445">
        <v>31</v>
      </c>
      <c r="H335" s="444">
        <v>0</v>
      </c>
      <c r="I335" s="444">
        <v>4</v>
      </c>
      <c r="J335" s="444">
        <v>2</v>
      </c>
      <c r="K335" s="444">
        <v>25</v>
      </c>
      <c r="L335" s="446"/>
      <c r="M335" s="446">
        <v>31</v>
      </c>
      <c r="N335" s="780"/>
      <c r="O335" s="442" t="s">
        <v>1842</v>
      </c>
      <c r="P335" s="444"/>
    </row>
    <row r="336" spans="1:16" s="293" customFormat="1" ht="18" customHeight="1">
      <c r="A336" s="447">
        <v>331</v>
      </c>
      <c r="B336" s="440" t="s">
        <v>1790</v>
      </c>
      <c r="C336" s="441" t="s">
        <v>1791</v>
      </c>
      <c r="D336" s="442" t="s">
        <v>928</v>
      </c>
      <c r="E336" s="442" t="s">
        <v>203</v>
      </c>
      <c r="F336" s="443">
        <v>45600</v>
      </c>
      <c r="G336" s="445">
        <v>31</v>
      </c>
      <c r="H336" s="444">
        <v>0</v>
      </c>
      <c r="I336" s="444">
        <v>4</v>
      </c>
      <c r="J336" s="444">
        <v>2</v>
      </c>
      <c r="K336" s="444">
        <v>25</v>
      </c>
      <c r="L336" s="446"/>
      <c r="M336" s="446">
        <v>31</v>
      </c>
      <c r="N336" s="780"/>
      <c r="O336" s="442" t="s">
        <v>1842</v>
      </c>
      <c r="P336" s="444"/>
    </row>
    <row r="337" spans="1:16" s="293" customFormat="1" ht="18" customHeight="1">
      <c r="A337" s="447">
        <v>332</v>
      </c>
      <c r="B337" s="440" t="s">
        <v>1792</v>
      </c>
      <c r="C337" s="441" t="s">
        <v>1793</v>
      </c>
      <c r="D337" s="442" t="s">
        <v>928</v>
      </c>
      <c r="E337" s="442" t="s">
        <v>203</v>
      </c>
      <c r="F337" s="443">
        <v>45600</v>
      </c>
      <c r="G337" s="445">
        <v>31</v>
      </c>
      <c r="H337" s="444">
        <v>0</v>
      </c>
      <c r="I337" s="444">
        <v>4</v>
      </c>
      <c r="J337" s="444">
        <v>2</v>
      </c>
      <c r="K337" s="444">
        <v>1</v>
      </c>
      <c r="L337" s="446">
        <v>24</v>
      </c>
      <c r="M337" s="446">
        <v>7</v>
      </c>
      <c r="N337" s="780"/>
      <c r="O337" s="442" t="s">
        <v>1842</v>
      </c>
      <c r="P337" s="444" t="s">
        <v>1844</v>
      </c>
    </row>
    <row r="338" spans="1:16" s="293" customFormat="1" ht="18" customHeight="1">
      <c r="A338" s="447">
        <v>333</v>
      </c>
      <c r="B338" s="440" t="s">
        <v>1794</v>
      </c>
      <c r="C338" s="441" t="s">
        <v>1795</v>
      </c>
      <c r="D338" s="442" t="s">
        <v>890</v>
      </c>
      <c r="E338" s="442" t="s">
        <v>203</v>
      </c>
      <c r="F338" s="443">
        <v>45602</v>
      </c>
      <c r="G338" s="445">
        <v>31</v>
      </c>
      <c r="H338" s="444">
        <v>0</v>
      </c>
      <c r="I338" s="444">
        <v>4</v>
      </c>
      <c r="J338" s="444">
        <v>2</v>
      </c>
      <c r="K338" s="444">
        <v>25</v>
      </c>
      <c r="L338" s="446"/>
      <c r="M338" s="446">
        <v>31</v>
      </c>
      <c r="N338" s="780"/>
      <c r="O338" s="442" t="s">
        <v>1842</v>
      </c>
      <c r="P338" s="444"/>
    </row>
    <row r="339" spans="1:16" s="293" customFormat="1" ht="18" customHeight="1">
      <c r="A339" s="447">
        <v>334</v>
      </c>
      <c r="B339" s="440" t="s">
        <v>1796</v>
      </c>
      <c r="C339" s="441" t="s">
        <v>1797</v>
      </c>
      <c r="D339" s="442" t="s">
        <v>1067</v>
      </c>
      <c r="E339" s="442" t="s">
        <v>97</v>
      </c>
      <c r="F339" s="443">
        <v>45598</v>
      </c>
      <c r="G339" s="445">
        <v>31</v>
      </c>
      <c r="H339" s="444">
        <v>6</v>
      </c>
      <c r="I339" s="444">
        <v>4</v>
      </c>
      <c r="J339" s="444">
        <v>2</v>
      </c>
      <c r="K339" s="444">
        <v>19</v>
      </c>
      <c r="L339" s="446"/>
      <c r="M339" s="446">
        <v>31</v>
      </c>
      <c r="N339" s="780"/>
      <c r="O339" s="442" t="s">
        <v>1842</v>
      </c>
      <c r="P339" s="444"/>
    </row>
    <row r="340" spans="1:16" s="293" customFormat="1" ht="18" customHeight="1">
      <c r="A340" s="447">
        <v>335</v>
      </c>
      <c r="B340" s="440" t="s">
        <v>1798</v>
      </c>
      <c r="C340" s="441" t="s">
        <v>1799</v>
      </c>
      <c r="D340" s="442" t="s">
        <v>435</v>
      </c>
      <c r="E340" s="442" t="s">
        <v>97</v>
      </c>
      <c r="F340" s="443">
        <v>45612</v>
      </c>
      <c r="G340" s="445">
        <v>31</v>
      </c>
      <c r="H340" s="444">
        <v>0</v>
      </c>
      <c r="I340" s="444">
        <v>4</v>
      </c>
      <c r="J340" s="444">
        <v>2</v>
      </c>
      <c r="K340" s="444">
        <v>25</v>
      </c>
      <c r="L340" s="446"/>
      <c r="M340" s="446">
        <v>31</v>
      </c>
      <c r="N340" s="780"/>
      <c r="O340" s="442" t="s">
        <v>1841</v>
      </c>
      <c r="P340" s="444"/>
    </row>
    <row r="341" spans="1:16" s="293" customFormat="1" ht="18" customHeight="1">
      <c r="A341" s="447">
        <v>336</v>
      </c>
      <c r="B341" s="440" t="s">
        <v>1800</v>
      </c>
      <c r="C341" s="441" t="s">
        <v>1801</v>
      </c>
      <c r="D341" s="442" t="s">
        <v>435</v>
      </c>
      <c r="E341" s="442" t="s">
        <v>97</v>
      </c>
      <c r="F341" s="443">
        <v>45598</v>
      </c>
      <c r="G341" s="445">
        <v>31</v>
      </c>
      <c r="H341" s="444">
        <v>1</v>
      </c>
      <c r="I341" s="444">
        <v>4</v>
      </c>
      <c r="J341" s="444">
        <v>2</v>
      </c>
      <c r="K341" s="444">
        <v>24</v>
      </c>
      <c r="L341" s="446"/>
      <c r="M341" s="446">
        <v>31</v>
      </c>
      <c r="N341" s="780"/>
      <c r="O341" s="442" t="s">
        <v>1841</v>
      </c>
      <c r="P341" s="444"/>
    </row>
    <row r="342" spans="1:16" s="293" customFormat="1" ht="18" customHeight="1">
      <c r="A342" s="447">
        <v>337</v>
      </c>
      <c r="B342" s="440" t="s">
        <v>854</v>
      </c>
      <c r="C342" s="441" t="s">
        <v>1802</v>
      </c>
      <c r="D342" s="442" t="s">
        <v>452</v>
      </c>
      <c r="E342" s="442" t="s">
        <v>517</v>
      </c>
      <c r="F342" s="443">
        <v>45619</v>
      </c>
      <c r="G342" s="445">
        <v>31</v>
      </c>
      <c r="H342" s="444">
        <v>0</v>
      </c>
      <c r="I342" s="444">
        <v>4</v>
      </c>
      <c r="J342" s="444">
        <v>2</v>
      </c>
      <c r="K342" s="444">
        <v>25</v>
      </c>
      <c r="L342" s="446"/>
      <c r="M342" s="446">
        <v>31</v>
      </c>
      <c r="N342" s="780"/>
      <c r="O342" s="442" t="s">
        <v>1837</v>
      </c>
      <c r="P342" s="444"/>
    </row>
    <row r="343" spans="1:16" s="293" customFormat="1" ht="18" customHeight="1">
      <c r="A343" s="447">
        <v>338</v>
      </c>
      <c r="B343" s="440" t="s">
        <v>1803</v>
      </c>
      <c r="C343" s="441" t="s">
        <v>1845</v>
      </c>
      <c r="D343" s="442" t="s">
        <v>1804</v>
      </c>
      <c r="E343" s="442" t="s">
        <v>1111</v>
      </c>
      <c r="F343" s="443">
        <v>45566</v>
      </c>
      <c r="G343" s="445">
        <v>31</v>
      </c>
      <c r="H343" s="444">
        <v>0</v>
      </c>
      <c r="I343" s="444">
        <v>4</v>
      </c>
      <c r="J343" s="444">
        <v>2</v>
      </c>
      <c r="K343" s="444">
        <v>25</v>
      </c>
      <c r="L343" s="446"/>
      <c r="M343" s="446">
        <v>31</v>
      </c>
      <c r="N343" s="780"/>
      <c r="O343" s="442" t="s">
        <v>1842</v>
      </c>
      <c r="P343" s="444"/>
    </row>
    <row r="344" spans="1:16" s="293" customFormat="1" ht="18" customHeight="1">
      <c r="A344" s="447">
        <v>339</v>
      </c>
      <c r="B344" s="440" t="s">
        <v>1805</v>
      </c>
      <c r="C344" s="441" t="s">
        <v>1806</v>
      </c>
      <c r="D344" s="442" t="s">
        <v>1807</v>
      </c>
      <c r="E344" s="442" t="s">
        <v>97</v>
      </c>
      <c r="F344" s="443">
        <v>45614</v>
      </c>
      <c r="G344" s="445">
        <v>31</v>
      </c>
      <c r="H344" s="444">
        <v>0</v>
      </c>
      <c r="I344" s="444">
        <v>4</v>
      </c>
      <c r="J344" s="444">
        <v>2</v>
      </c>
      <c r="K344" s="444">
        <v>25</v>
      </c>
      <c r="L344" s="446"/>
      <c r="M344" s="446">
        <v>31</v>
      </c>
      <c r="N344" s="780"/>
      <c r="O344" s="442" t="s">
        <v>1841</v>
      </c>
      <c r="P344" s="444"/>
    </row>
    <row r="345" spans="1:16" s="293" customFormat="1" ht="18" customHeight="1">
      <c r="A345" s="447">
        <v>340</v>
      </c>
      <c r="B345" s="440" t="s">
        <v>1808</v>
      </c>
      <c r="C345" s="441" t="s">
        <v>1809</v>
      </c>
      <c r="D345" s="442" t="s">
        <v>1807</v>
      </c>
      <c r="E345" s="442" t="s">
        <v>97</v>
      </c>
      <c r="F345" s="443">
        <v>45614</v>
      </c>
      <c r="G345" s="445">
        <v>31</v>
      </c>
      <c r="H345" s="444">
        <v>0</v>
      </c>
      <c r="I345" s="444">
        <v>4</v>
      </c>
      <c r="J345" s="444">
        <v>2</v>
      </c>
      <c r="K345" s="444">
        <v>25</v>
      </c>
      <c r="L345" s="446"/>
      <c r="M345" s="446">
        <v>31</v>
      </c>
      <c r="N345" s="780"/>
      <c r="O345" s="442" t="s">
        <v>1841</v>
      </c>
      <c r="P345" s="444"/>
    </row>
    <row r="346" spans="1:16" s="293" customFormat="1" ht="18" customHeight="1">
      <c r="A346" s="447">
        <v>341</v>
      </c>
      <c r="B346" s="440" t="s">
        <v>1810</v>
      </c>
      <c r="C346" s="441" t="s">
        <v>1811</v>
      </c>
      <c r="D346" s="442" t="s">
        <v>542</v>
      </c>
      <c r="E346" s="442" t="s">
        <v>1111</v>
      </c>
      <c r="F346" s="443">
        <v>45614</v>
      </c>
      <c r="G346" s="445">
        <v>31</v>
      </c>
      <c r="H346" s="444">
        <v>0</v>
      </c>
      <c r="I346" s="444">
        <v>4</v>
      </c>
      <c r="J346" s="444">
        <v>2</v>
      </c>
      <c r="K346" s="444">
        <v>25</v>
      </c>
      <c r="L346" s="446"/>
      <c r="M346" s="446">
        <v>31</v>
      </c>
      <c r="N346" s="780"/>
      <c r="O346" s="442" t="s">
        <v>1842</v>
      </c>
      <c r="P346" s="444"/>
    </row>
    <row r="347" spans="1:16" s="293" customFormat="1" ht="18" customHeight="1">
      <c r="A347" s="447">
        <v>342</v>
      </c>
      <c r="B347" s="440" t="s">
        <v>1812</v>
      </c>
      <c r="C347" s="441" t="s">
        <v>424</v>
      </c>
      <c r="D347" s="442" t="s">
        <v>435</v>
      </c>
      <c r="E347" s="442" t="s">
        <v>97</v>
      </c>
      <c r="F347" s="443">
        <v>45619</v>
      </c>
      <c r="G347" s="445">
        <v>31</v>
      </c>
      <c r="H347" s="444">
        <v>0</v>
      </c>
      <c r="I347" s="444">
        <v>4</v>
      </c>
      <c r="J347" s="444">
        <v>2</v>
      </c>
      <c r="K347" s="444">
        <v>25</v>
      </c>
      <c r="L347" s="446"/>
      <c r="M347" s="446">
        <v>31</v>
      </c>
      <c r="N347" s="780"/>
      <c r="O347" s="442" t="s">
        <v>1841</v>
      </c>
      <c r="P347" s="444"/>
    </row>
    <row r="348" spans="1:16" s="293" customFormat="1" ht="27" customHeight="1">
      <c r="A348" s="447">
        <v>343</v>
      </c>
      <c r="B348" s="440" t="s">
        <v>1846</v>
      </c>
      <c r="C348" s="441" t="s">
        <v>1847</v>
      </c>
      <c r="D348" s="442" t="s">
        <v>435</v>
      </c>
      <c r="E348" s="442" t="s">
        <v>97</v>
      </c>
      <c r="F348" s="443">
        <v>45620</v>
      </c>
      <c r="G348" s="445">
        <v>31</v>
      </c>
      <c r="H348" s="444">
        <v>0</v>
      </c>
      <c r="I348" s="444">
        <v>4</v>
      </c>
      <c r="J348" s="444">
        <v>2</v>
      </c>
      <c r="K348" s="444">
        <v>25</v>
      </c>
      <c r="L348" s="446"/>
      <c r="M348" s="446">
        <v>31</v>
      </c>
      <c r="N348" s="780">
        <v>20000</v>
      </c>
      <c r="O348" s="442" t="s">
        <v>1841</v>
      </c>
      <c r="P348" s="444" t="s">
        <v>1848</v>
      </c>
    </row>
    <row r="349" spans="1:16" s="293" customFormat="1" ht="18" customHeight="1">
      <c r="A349" s="447">
        <v>344</v>
      </c>
      <c r="B349" s="440" t="s">
        <v>1849</v>
      </c>
      <c r="C349" s="441" t="s">
        <v>1850</v>
      </c>
      <c r="D349" s="442" t="s">
        <v>439</v>
      </c>
      <c r="E349" s="442" t="s">
        <v>97</v>
      </c>
      <c r="F349" s="443">
        <v>45640</v>
      </c>
      <c r="G349" s="445">
        <v>31</v>
      </c>
      <c r="H349" s="444">
        <v>0</v>
      </c>
      <c r="I349" s="444">
        <v>4</v>
      </c>
      <c r="J349" s="444">
        <v>2</v>
      </c>
      <c r="K349" s="444">
        <v>12</v>
      </c>
      <c r="L349" s="446">
        <v>13</v>
      </c>
      <c r="M349" s="446">
        <v>18</v>
      </c>
      <c r="N349" s="780">
        <v>19000</v>
      </c>
      <c r="O349" s="442" t="s">
        <v>1841</v>
      </c>
      <c r="P349" s="444"/>
    </row>
    <row r="350" spans="1:16" s="293" customFormat="1" ht="18" customHeight="1">
      <c r="A350" s="447">
        <v>345</v>
      </c>
      <c r="B350" s="440" t="s">
        <v>1851</v>
      </c>
      <c r="C350" s="441" t="s">
        <v>1852</v>
      </c>
      <c r="D350" s="442" t="s">
        <v>490</v>
      </c>
      <c r="E350" s="442" t="s">
        <v>1111</v>
      </c>
      <c r="F350" s="443">
        <v>45627</v>
      </c>
      <c r="G350" s="445">
        <v>31</v>
      </c>
      <c r="H350" s="444">
        <v>0</v>
      </c>
      <c r="I350" s="444">
        <v>4</v>
      </c>
      <c r="J350" s="444">
        <v>2</v>
      </c>
      <c r="K350" s="444">
        <v>25</v>
      </c>
      <c r="L350" s="446"/>
      <c r="M350" s="446">
        <v>31</v>
      </c>
      <c r="N350" s="780">
        <v>35000</v>
      </c>
      <c r="O350" s="442" t="s">
        <v>1842</v>
      </c>
      <c r="P350" s="444"/>
    </row>
    <row r="351" spans="1:16" s="293" customFormat="1" ht="18" customHeight="1">
      <c r="A351" s="447">
        <v>346</v>
      </c>
      <c r="B351" s="440" t="s">
        <v>1853</v>
      </c>
      <c r="C351" s="441" t="s">
        <v>1854</v>
      </c>
      <c r="D351" s="442" t="s">
        <v>460</v>
      </c>
      <c r="E351" s="442" t="s">
        <v>347</v>
      </c>
      <c r="F351" s="443">
        <v>45627</v>
      </c>
      <c r="G351" s="445">
        <v>31</v>
      </c>
      <c r="H351" s="444">
        <v>0</v>
      </c>
      <c r="I351" s="444">
        <v>4</v>
      </c>
      <c r="J351" s="444">
        <v>2</v>
      </c>
      <c r="K351" s="444">
        <v>25</v>
      </c>
      <c r="L351" s="446"/>
      <c r="M351" s="446">
        <v>31</v>
      </c>
      <c r="N351" s="780">
        <v>21000</v>
      </c>
      <c r="O351" s="442" t="s">
        <v>1842</v>
      </c>
      <c r="P351" s="444"/>
    </row>
    <row r="352" spans="1:16" s="293" customFormat="1" ht="18" customHeight="1">
      <c r="A352" s="447">
        <v>347</v>
      </c>
      <c r="B352" s="440" t="s">
        <v>1855</v>
      </c>
      <c r="C352" s="441" t="s">
        <v>1856</v>
      </c>
      <c r="D352" s="442" t="s">
        <v>1857</v>
      </c>
      <c r="E352" s="442" t="s">
        <v>1111</v>
      </c>
      <c r="F352" s="443">
        <v>45637</v>
      </c>
      <c r="G352" s="445">
        <v>31</v>
      </c>
      <c r="H352" s="444">
        <v>0</v>
      </c>
      <c r="I352" s="444">
        <v>4</v>
      </c>
      <c r="J352" s="444">
        <v>2</v>
      </c>
      <c r="K352" s="444">
        <v>15</v>
      </c>
      <c r="L352" s="446">
        <v>10</v>
      </c>
      <c r="M352" s="446">
        <v>21</v>
      </c>
      <c r="N352" s="780">
        <v>22000</v>
      </c>
      <c r="O352" s="442" t="s">
        <v>1842</v>
      </c>
      <c r="P352" s="444"/>
    </row>
    <row r="353" spans="1:16" s="293" customFormat="1" ht="18" customHeight="1">
      <c r="A353" s="447">
        <v>348</v>
      </c>
      <c r="B353" s="440" t="s">
        <v>1858</v>
      </c>
      <c r="C353" s="441" t="s">
        <v>1859</v>
      </c>
      <c r="D353" s="442" t="s">
        <v>463</v>
      </c>
      <c r="E353" s="442" t="s">
        <v>74</v>
      </c>
      <c r="F353" s="443">
        <v>45627</v>
      </c>
      <c r="G353" s="445">
        <v>31</v>
      </c>
      <c r="H353" s="444">
        <v>0</v>
      </c>
      <c r="I353" s="444">
        <v>4</v>
      </c>
      <c r="J353" s="444">
        <v>2</v>
      </c>
      <c r="K353" s="444">
        <v>25</v>
      </c>
      <c r="L353" s="446"/>
      <c r="M353" s="446">
        <v>31</v>
      </c>
      <c r="N353" s="780">
        <v>16000</v>
      </c>
      <c r="O353" s="442" t="s">
        <v>1842</v>
      </c>
      <c r="P353" s="444"/>
    </row>
    <row r="354" spans="1:16" s="293" customFormat="1" ht="18" customHeight="1">
      <c r="A354" s="447">
        <v>349</v>
      </c>
      <c r="B354" s="440" t="s">
        <v>1860</v>
      </c>
      <c r="C354" s="441" t="s">
        <v>1861</v>
      </c>
      <c r="D354" s="442" t="s">
        <v>1862</v>
      </c>
      <c r="E354" s="442" t="s">
        <v>74</v>
      </c>
      <c r="F354" s="443">
        <v>45627</v>
      </c>
      <c r="G354" s="445">
        <v>31</v>
      </c>
      <c r="H354" s="444">
        <v>0</v>
      </c>
      <c r="I354" s="444">
        <v>4</v>
      </c>
      <c r="J354" s="444">
        <v>2</v>
      </c>
      <c r="K354" s="444">
        <v>25</v>
      </c>
      <c r="L354" s="446"/>
      <c r="M354" s="446">
        <v>31</v>
      </c>
      <c r="N354" s="780">
        <v>15000</v>
      </c>
      <c r="O354" s="442" t="s">
        <v>1842</v>
      </c>
      <c r="P354" s="444"/>
    </row>
    <row r="355" spans="1:16" s="293" customFormat="1" ht="18" customHeight="1">
      <c r="A355" s="449">
        <v>350</v>
      </c>
      <c r="B355" s="450" t="s">
        <v>1863</v>
      </c>
      <c r="C355" s="451" t="s">
        <v>424</v>
      </c>
      <c r="D355" s="452" t="s">
        <v>1864</v>
      </c>
      <c r="E355" s="452" t="s">
        <v>74</v>
      </c>
      <c r="F355" s="453">
        <v>45627</v>
      </c>
      <c r="G355" s="454">
        <v>31</v>
      </c>
      <c r="H355" s="455">
        <v>0</v>
      </c>
      <c r="I355" s="455">
        <v>4</v>
      </c>
      <c r="J355" s="455">
        <v>2</v>
      </c>
      <c r="K355" s="455">
        <v>25</v>
      </c>
      <c r="L355" s="456"/>
      <c r="M355" s="456">
        <v>31</v>
      </c>
      <c r="N355" s="1026">
        <v>14000</v>
      </c>
      <c r="O355" s="452" t="s">
        <v>1842</v>
      </c>
      <c r="P355" s="455"/>
    </row>
    <row r="356" spans="1:16" s="293" customFormat="1" ht="18" hidden="1" customHeight="1">
      <c r="A356" s="1017"/>
      <c r="B356" s="1018"/>
      <c r="C356" s="1019"/>
      <c r="D356" s="1020"/>
      <c r="E356" s="1020"/>
      <c r="F356" s="1021"/>
      <c r="G356" s="1022"/>
      <c r="H356" s="1023"/>
      <c r="I356" s="1023"/>
      <c r="J356" s="1023"/>
      <c r="K356" s="1023"/>
      <c r="L356" s="1024"/>
      <c r="M356" s="1024"/>
      <c r="N356" s="1025"/>
      <c r="O356" s="1020"/>
      <c r="P356" s="1023"/>
    </row>
    <row r="357" spans="1:16" s="293" customFormat="1" ht="18" hidden="1" customHeight="1">
      <c r="A357" s="447"/>
      <c r="B357" s="440"/>
      <c r="C357" s="441"/>
      <c r="D357" s="442"/>
      <c r="E357" s="442"/>
      <c r="F357" s="443"/>
      <c r="G357" s="445"/>
      <c r="H357" s="444"/>
      <c r="I357" s="444"/>
      <c r="J357" s="444"/>
      <c r="K357" s="444"/>
      <c r="L357" s="446"/>
      <c r="M357" s="446"/>
      <c r="N357" s="486"/>
      <c r="O357" s="442"/>
      <c r="P357" s="444"/>
    </row>
    <row r="358" spans="1:16" s="293" customFormat="1" ht="18" hidden="1" customHeight="1">
      <c r="A358" s="447"/>
      <c r="B358" s="440"/>
      <c r="C358" s="441"/>
      <c r="D358" s="442"/>
      <c r="E358" s="442"/>
      <c r="F358" s="443"/>
      <c r="G358" s="445"/>
      <c r="H358" s="444"/>
      <c r="I358" s="444"/>
      <c r="J358" s="444"/>
      <c r="K358" s="444"/>
      <c r="L358" s="446"/>
      <c r="M358" s="446"/>
      <c r="N358" s="486"/>
      <c r="O358" s="442"/>
      <c r="P358" s="444"/>
    </row>
    <row r="359" spans="1:16" s="293" customFormat="1" ht="18" hidden="1" customHeight="1">
      <c r="A359" s="447"/>
      <c r="B359" s="440"/>
      <c r="C359" s="441"/>
      <c r="D359" s="442"/>
      <c r="E359" s="442"/>
      <c r="F359" s="443"/>
      <c r="G359" s="445"/>
      <c r="H359" s="444"/>
      <c r="I359" s="444"/>
      <c r="J359" s="444"/>
      <c r="K359" s="444"/>
      <c r="L359" s="446"/>
      <c r="M359" s="446"/>
      <c r="N359" s="486"/>
      <c r="O359" s="442"/>
      <c r="P359" s="444"/>
    </row>
    <row r="360" spans="1:16" s="293" customFormat="1" ht="18" hidden="1" customHeight="1">
      <c r="A360" s="447"/>
      <c r="B360" s="440"/>
      <c r="C360" s="441"/>
      <c r="D360" s="442"/>
      <c r="E360" s="442"/>
      <c r="F360" s="443"/>
      <c r="G360" s="445"/>
      <c r="H360" s="444"/>
      <c r="I360" s="444"/>
      <c r="J360" s="444"/>
      <c r="K360" s="444"/>
      <c r="L360" s="446"/>
      <c r="M360" s="446"/>
      <c r="N360" s="486"/>
      <c r="O360" s="442"/>
      <c r="P360" s="444"/>
    </row>
    <row r="361" spans="1:16" s="293" customFormat="1" ht="18" hidden="1" customHeight="1">
      <c r="A361" s="447"/>
      <c r="B361" s="440"/>
      <c r="C361" s="441"/>
      <c r="D361" s="442"/>
      <c r="E361" s="442"/>
      <c r="F361" s="443"/>
      <c r="G361" s="445"/>
      <c r="H361" s="444"/>
      <c r="I361" s="444"/>
      <c r="J361" s="444"/>
      <c r="K361" s="444"/>
      <c r="L361" s="446"/>
      <c r="M361" s="446"/>
      <c r="N361" s="486"/>
      <c r="O361" s="442"/>
      <c r="P361" s="444"/>
    </row>
    <row r="362" spans="1:16" s="293" customFormat="1" ht="18" hidden="1" customHeight="1">
      <c r="A362" s="447"/>
      <c r="B362" s="440"/>
      <c r="C362" s="441"/>
      <c r="D362" s="442"/>
      <c r="E362" s="442"/>
      <c r="F362" s="443"/>
      <c r="G362" s="445"/>
      <c r="H362" s="444"/>
      <c r="I362" s="444"/>
      <c r="J362" s="444"/>
      <c r="K362" s="444"/>
      <c r="L362" s="446"/>
      <c r="M362" s="446"/>
      <c r="N362" s="486"/>
      <c r="O362" s="442"/>
      <c r="P362" s="444"/>
    </row>
    <row r="363" spans="1:16" s="293" customFormat="1" ht="18" hidden="1" customHeight="1">
      <c r="A363" s="447"/>
      <c r="B363" s="440"/>
      <c r="C363" s="441"/>
      <c r="D363" s="442"/>
      <c r="E363" s="442"/>
      <c r="F363" s="443"/>
      <c r="G363" s="445"/>
      <c r="H363" s="444"/>
      <c r="I363" s="444"/>
      <c r="J363" s="444"/>
      <c r="K363" s="444"/>
      <c r="L363" s="446"/>
      <c r="M363" s="446"/>
      <c r="N363" s="486"/>
      <c r="O363" s="442"/>
      <c r="P363" s="444"/>
    </row>
    <row r="364" spans="1:16" s="293" customFormat="1" ht="18" hidden="1" customHeight="1">
      <c r="A364" s="447"/>
      <c r="B364" s="440"/>
      <c r="C364" s="441"/>
      <c r="D364" s="442"/>
      <c r="E364" s="442"/>
      <c r="F364" s="443"/>
      <c r="G364" s="445"/>
      <c r="H364" s="444"/>
      <c r="I364" s="444"/>
      <c r="J364" s="444"/>
      <c r="K364" s="444"/>
      <c r="L364" s="446"/>
      <c r="M364" s="446"/>
      <c r="N364" s="486"/>
      <c r="O364" s="442"/>
      <c r="P364" s="444"/>
    </row>
    <row r="365" spans="1:16" s="293" customFormat="1" ht="20.25" hidden="1" customHeight="1">
      <c r="A365" s="447"/>
      <c r="B365" s="440"/>
      <c r="C365" s="441"/>
      <c r="D365" s="442"/>
      <c r="E365" s="442"/>
      <c r="F365" s="538"/>
      <c r="G365" s="445"/>
      <c r="H365" s="459"/>
      <c r="I365" s="444"/>
      <c r="J365" s="444"/>
      <c r="K365" s="444"/>
      <c r="L365" s="446"/>
      <c r="M365" s="446"/>
      <c r="N365" s="486"/>
      <c r="O365" s="442"/>
      <c r="P365" s="448"/>
    </row>
    <row r="366" spans="1:16" s="293" customFormat="1" ht="20.25" hidden="1" customHeight="1">
      <c r="A366" s="447"/>
      <c r="B366" s="440"/>
      <c r="C366" s="441"/>
      <c r="D366" s="442"/>
      <c r="E366" s="442"/>
      <c r="F366" s="538"/>
      <c r="G366" s="445"/>
      <c r="H366" s="459"/>
      <c r="I366" s="444"/>
      <c r="J366" s="444"/>
      <c r="K366" s="444"/>
      <c r="L366" s="446"/>
      <c r="M366" s="446"/>
      <c r="N366" s="486"/>
      <c r="O366" s="442"/>
      <c r="P366" s="448"/>
    </row>
    <row r="367" spans="1:16" s="293" customFormat="1" ht="20.25" hidden="1" customHeight="1">
      <c r="A367" s="447"/>
      <c r="B367" s="440"/>
      <c r="C367" s="441"/>
      <c r="D367" s="442"/>
      <c r="E367" s="442"/>
      <c r="F367" s="443"/>
      <c r="G367" s="445"/>
      <c r="H367" s="459"/>
      <c r="I367" s="444"/>
      <c r="J367" s="444"/>
      <c r="K367" s="444"/>
      <c r="L367" s="446"/>
      <c r="M367" s="446"/>
      <c r="N367" s="457"/>
      <c r="O367" s="442"/>
      <c r="P367" s="448"/>
    </row>
    <row r="368" spans="1:16" s="293" customFormat="1" ht="20.25" hidden="1" customHeight="1">
      <c r="A368" s="447"/>
      <c r="B368" s="440"/>
      <c r="C368" s="441"/>
      <c r="D368" s="442"/>
      <c r="E368" s="442"/>
      <c r="F368" s="443"/>
      <c r="G368" s="445"/>
      <c r="H368" s="459"/>
      <c r="I368" s="444"/>
      <c r="J368" s="444"/>
      <c r="K368" s="444"/>
      <c r="L368" s="446"/>
      <c r="M368" s="446"/>
      <c r="N368" s="457"/>
      <c r="O368" s="442"/>
      <c r="P368" s="448"/>
    </row>
    <row r="369" spans="1:16" s="293" customFormat="1" ht="20.25" hidden="1" customHeight="1">
      <c r="A369" s="447"/>
      <c r="B369" s="440"/>
      <c r="C369" s="441"/>
      <c r="D369" s="442"/>
      <c r="E369" s="442"/>
      <c r="F369" s="443"/>
      <c r="G369" s="445"/>
      <c r="H369" s="459"/>
      <c r="I369" s="444"/>
      <c r="J369" s="444"/>
      <c r="K369" s="444"/>
      <c r="L369" s="446"/>
      <c r="M369" s="446"/>
      <c r="N369" s="457"/>
      <c r="O369" s="442"/>
      <c r="P369" s="448"/>
    </row>
    <row r="370" spans="1:16" s="293" customFormat="1" ht="20.25" hidden="1" customHeight="1">
      <c r="A370" s="447"/>
      <c r="B370" s="440"/>
      <c r="C370" s="441"/>
      <c r="D370" s="442"/>
      <c r="E370" s="442"/>
      <c r="F370" s="443"/>
      <c r="G370" s="445"/>
      <c r="H370" s="459"/>
      <c r="I370" s="444"/>
      <c r="J370" s="444"/>
      <c r="K370" s="444"/>
      <c r="L370" s="446"/>
      <c r="M370" s="446"/>
      <c r="N370" s="457"/>
      <c r="O370" s="442"/>
      <c r="P370" s="448"/>
    </row>
    <row r="371" spans="1:16" s="293" customFormat="1" ht="20.25" hidden="1" customHeight="1">
      <c r="A371" s="447"/>
      <c r="B371" s="440"/>
      <c r="C371" s="441"/>
      <c r="D371" s="442"/>
      <c r="E371" s="442"/>
      <c r="F371" s="443"/>
      <c r="G371" s="445"/>
      <c r="H371" s="459"/>
      <c r="I371" s="444"/>
      <c r="J371" s="444"/>
      <c r="K371" s="444"/>
      <c r="L371" s="446"/>
      <c r="M371" s="446"/>
      <c r="N371" s="457"/>
      <c r="O371" s="442"/>
      <c r="P371" s="448"/>
    </row>
    <row r="372" spans="1:16" s="293" customFormat="1" ht="20.25" hidden="1" customHeight="1">
      <c r="A372" s="447"/>
      <c r="B372" s="440"/>
      <c r="C372" s="441"/>
      <c r="D372" s="442"/>
      <c r="E372" s="442"/>
      <c r="F372" s="443"/>
      <c r="G372" s="445"/>
      <c r="H372" s="459"/>
      <c r="I372" s="444"/>
      <c r="J372" s="444"/>
      <c r="K372" s="444"/>
      <c r="L372" s="446"/>
      <c r="M372" s="446"/>
      <c r="N372" s="457"/>
      <c r="O372" s="442"/>
      <c r="P372" s="448"/>
    </row>
    <row r="373" spans="1:16" s="293" customFormat="1" hidden="1">
      <c r="A373" s="447"/>
      <c r="B373" s="440"/>
      <c r="C373" s="441"/>
      <c r="D373" s="442"/>
      <c r="E373" s="442"/>
      <c r="F373" s="443"/>
      <c r="G373" s="445"/>
      <c r="H373" s="459"/>
      <c r="I373" s="444"/>
      <c r="J373" s="444"/>
      <c r="K373" s="444"/>
      <c r="L373" s="446"/>
      <c r="M373" s="446"/>
      <c r="N373" s="457"/>
      <c r="O373" s="442"/>
      <c r="P373" s="448"/>
    </row>
    <row r="374" spans="1:16" s="293" customFormat="1" hidden="1">
      <c r="A374" s="447"/>
      <c r="B374" s="440"/>
      <c r="C374" s="441"/>
      <c r="D374" s="442"/>
      <c r="E374" s="442"/>
      <c r="F374" s="443"/>
      <c r="G374" s="445"/>
      <c r="H374" s="459"/>
      <c r="I374" s="444"/>
      <c r="J374" s="444"/>
      <c r="K374" s="444"/>
      <c r="L374" s="446"/>
      <c r="M374" s="446"/>
      <c r="N374" s="457"/>
      <c r="O374" s="442"/>
      <c r="P374" s="448"/>
    </row>
    <row r="375" spans="1:16" s="293" customFormat="1" hidden="1">
      <c r="A375" s="447"/>
      <c r="B375" s="440"/>
      <c r="C375" s="441"/>
      <c r="D375" s="442"/>
      <c r="E375" s="442"/>
      <c r="F375" s="443"/>
      <c r="G375" s="445"/>
      <c r="H375" s="459"/>
      <c r="I375" s="444"/>
      <c r="J375" s="444"/>
      <c r="K375" s="444"/>
      <c r="L375" s="446"/>
      <c r="M375" s="446"/>
      <c r="N375" s="457"/>
      <c r="O375" s="442"/>
      <c r="P375" s="448"/>
    </row>
    <row r="376" spans="1:16" s="293" customFormat="1" hidden="1">
      <c r="A376" s="447"/>
      <c r="B376" s="440"/>
      <c r="C376" s="441"/>
      <c r="D376" s="442"/>
      <c r="E376" s="442"/>
      <c r="F376" s="443"/>
      <c r="G376" s="445"/>
      <c r="H376" s="459"/>
      <c r="I376" s="444"/>
      <c r="J376" s="444"/>
      <c r="K376" s="444"/>
      <c r="L376" s="446"/>
      <c r="M376" s="446"/>
      <c r="N376" s="457"/>
      <c r="O376" s="442"/>
      <c r="P376" s="448"/>
    </row>
    <row r="377" spans="1:16" s="293" customFormat="1" hidden="1">
      <c r="A377" s="447"/>
      <c r="B377" s="440"/>
      <c r="C377" s="441"/>
      <c r="D377" s="442"/>
      <c r="E377" s="442"/>
      <c r="F377" s="443"/>
      <c r="G377" s="445"/>
      <c r="H377" s="459"/>
      <c r="I377" s="444"/>
      <c r="J377" s="444"/>
      <c r="K377" s="444"/>
      <c r="L377" s="446"/>
      <c r="M377" s="446"/>
      <c r="N377" s="457"/>
      <c r="O377" s="442"/>
      <c r="P377" s="448"/>
    </row>
    <row r="378" spans="1:16" s="293" customFormat="1" hidden="1">
      <c r="A378" s="447"/>
      <c r="B378" s="440"/>
      <c r="C378" s="441"/>
      <c r="D378" s="442"/>
      <c r="E378" s="442"/>
      <c r="F378" s="443"/>
      <c r="G378" s="445"/>
      <c r="H378" s="459"/>
      <c r="I378" s="444"/>
      <c r="J378" s="444"/>
      <c r="K378" s="444"/>
      <c r="L378" s="446"/>
      <c r="M378" s="446"/>
      <c r="N378" s="457"/>
      <c r="O378" s="442"/>
      <c r="P378" s="448"/>
    </row>
    <row r="379" spans="1:16" s="293" customFormat="1" hidden="1">
      <c r="A379" s="447"/>
      <c r="B379" s="440"/>
      <c r="C379" s="441"/>
      <c r="D379" s="442"/>
      <c r="E379" s="442"/>
      <c r="F379" s="443"/>
      <c r="G379" s="445"/>
      <c r="H379" s="459"/>
      <c r="I379" s="444"/>
      <c r="J379" s="444"/>
      <c r="K379" s="444"/>
      <c r="L379" s="446"/>
      <c r="M379" s="446"/>
      <c r="N379" s="457"/>
      <c r="O379" s="442"/>
      <c r="P379" s="448"/>
    </row>
    <row r="380" spans="1:16" s="293" customFormat="1" hidden="1">
      <c r="A380" s="447"/>
      <c r="B380" s="440"/>
      <c r="C380" s="441"/>
      <c r="D380" s="442"/>
      <c r="E380" s="442"/>
      <c r="F380" s="443"/>
      <c r="G380" s="445"/>
      <c r="H380" s="459"/>
      <c r="I380" s="444"/>
      <c r="J380" s="444"/>
      <c r="K380" s="444"/>
      <c r="L380" s="446"/>
      <c r="M380" s="446"/>
      <c r="N380" s="457"/>
      <c r="O380" s="442"/>
      <c r="P380" s="448"/>
    </row>
    <row r="381" spans="1:16" s="293" customFormat="1" ht="20.100000000000001" hidden="1" customHeight="1">
      <c r="A381" s="447"/>
      <c r="B381" s="440"/>
      <c r="C381" s="441"/>
      <c r="D381" s="442"/>
      <c r="E381" s="442"/>
      <c r="F381" s="443"/>
      <c r="G381" s="445"/>
      <c r="H381" s="459"/>
      <c r="I381" s="444"/>
      <c r="J381" s="444"/>
      <c r="K381" s="444"/>
      <c r="L381" s="446"/>
      <c r="M381" s="446"/>
      <c r="N381" s="457"/>
      <c r="O381" s="442"/>
      <c r="P381" s="448"/>
    </row>
    <row r="382" spans="1:16" s="293" customFormat="1" ht="20.100000000000001" hidden="1" customHeight="1">
      <c r="A382" s="447"/>
      <c r="B382" s="440"/>
      <c r="C382" s="441"/>
      <c r="D382" s="442"/>
      <c r="E382" s="442"/>
      <c r="F382" s="443"/>
      <c r="G382" s="445"/>
      <c r="H382" s="459"/>
      <c r="I382" s="444"/>
      <c r="J382" s="444"/>
      <c r="K382" s="444"/>
      <c r="L382" s="446"/>
      <c r="M382" s="446"/>
      <c r="N382" s="457"/>
      <c r="O382" s="442"/>
      <c r="P382" s="448"/>
    </row>
    <row r="383" spans="1:16" s="293" customFormat="1" ht="20.100000000000001" hidden="1" customHeight="1">
      <c r="A383" s="447"/>
      <c r="B383" s="440"/>
      <c r="C383" s="441"/>
      <c r="D383" s="442"/>
      <c r="E383" s="442"/>
      <c r="F383" s="443"/>
      <c r="G383" s="445"/>
      <c r="H383" s="459"/>
      <c r="I383" s="444"/>
      <c r="J383" s="444"/>
      <c r="K383" s="444"/>
      <c r="L383" s="446"/>
      <c r="M383" s="446"/>
      <c r="N383" s="457"/>
      <c r="O383" s="442"/>
      <c r="P383" s="448"/>
    </row>
    <row r="384" spans="1:16" s="293" customFormat="1" ht="20.100000000000001" hidden="1" customHeight="1">
      <c r="A384" s="447"/>
      <c r="B384" s="440"/>
      <c r="C384" s="441"/>
      <c r="D384" s="442"/>
      <c r="E384" s="442"/>
      <c r="F384" s="443"/>
      <c r="G384" s="445"/>
      <c r="H384" s="459"/>
      <c r="I384" s="444"/>
      <c r="J384" s="444"/>
      <c r="K384" s="444"/>
      <c r="L384" s="446"/>
      <c r="M384" s="446"/>
      <c r="N384" s="457"/>
      <c r="O384" s="442"/>
      <c r="P384" s="448"/>
    </row>
    <row r="385" spans="1:16" s="293" customFormat="1" ht="20.100000000000001" hidden="1" customHeight="1">
      <c r="A385" s="449"/>
      <c r="B385" s="450"/>
      <c r="C385" s="451"/>
      <c r="D385" s="452"/>
      <c r="E385" s="452"/>
      <c r="F385" s="453"/>
      <c r="G385" s="454"/>
      <c r="H385" s="460"/>
      <c r="I385" s="455"/>
      <c r="J385" s="455"/>
      <c r="K385" s="455"/>
      <c r="L385" s="456"/>
      <c r="M385" s="456"/>
      <c r="N385" s="458"/>
      <c r="O385" s="452"/>
      <c r="P385" s="539"/>
    </row>
    <row r="386" spans="1:16">
      <c r="F386" s="370"/>
      <c r="H386" s="374"/>
      <c r="I386" s="297"/>
      <c r="J386" s="297"/>
    </row>
    <row r="387" spans="1:16">
      <c r="F387" s="370"/>
      <c r="G387" s="297"/>
      <c r="H387" s="374"/>
      <c r="I387" s="297"/>
      <c r="J387" s="297"/>
    </row>
    <row r="388" spans="1:16">
      <c r="F388" s="370"/>
      <c r="G388" s="297"/>
      <c r="H388" s="374"/>
      <c r="I388" s="297"/>
      <c r="J388" s="297"/>
    </row>
    <row r="389" spans="1:16">
      <c r="F389" s="370"/>
      <c r="G389" s="297"/>
      <c r="H389" s="374"/>
      <c r="I389" s="297"/>
      <c r="J389" s="297"/>
    </row>
    <row r="390" spans="1:16" ht="15.75">
      <c r="C390" s="298" t="s">
        <v>495</v>
      </c>
      <c r="D390" s="299"/>
      <c r="E390" s="1218" t="s">
        <v>496</v>
      </c>
      <c r="F390" s="1218"/>
      <c r="G390" s="1218"/>
      <c r="H390" s="375"/>
      <c r="I390" s="300"/>
      <c r="J390" s="300"/>
      <c r="K390" s="301"/>
      <c r="L390" s="298" t="s">
        <v>497</v>
      </c>
      <c r="M390" s="422"/>
      <c r="N390" s="425"/>
      <c r="O390" s="425"/>
      <c r="P390" s="540"/>
    </row>
  </sheetData>
  <autoFilter ref="A5:P355" xr:uid="{00000000-0001-0000-1600-000000000000}"/>
  <mergeCells count="4">
    <mergeCell ref="A1:P1"/>
    <mergeCell ref="A2:P2"/>
    <mergeCell ref="A3:P3"/>
    <mergeCell ref="E390:G390"/>
  </mergeCells>
  <conditionalFormatting sqref="B6:B361">
    <cfRule type="duplicateValues" dxfId="0" priority="2254"/>
  </conditionalFormatting>
  <printOptions horizontalCentered="1"/>
  <pageMargins left="0.39370078740157483" right="0" top="0.35433070866141736" bottom="0.15748031496062992" header="0.31496062992125984" footer="0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tabColor theme="7" tint="0.39997558519241921"/>
    <pageSetUpPr fitToPage="1"/>
  </sheetPr>
  <dimension ref="A1:AI56"/>
  <sheetViews>
    <sheetView view="pageBreakPreview" zoomScale="85" zoomScaleNormal="100" zoomScaleSheetLayoutView="85" zoomScalePageLayoutView="80" workbookViewId="0">
      <selection activeCell="A2" sqref="A2:AF2"/>
    </sheetView>
  </sheetViews>
  <sheetFormatPr defaultColWidth="9.140625" defaultRowHeight="12.75"/>
  <cols>
    <col min="1" max="1" width="4.140625" style="156" customWidth="1"/>
    <col min="2" max="2" width="13.42578125" style="156" customWidth="1"/>
    <col min="3" max="3" width="20.140625" style="157" customWidth="1"/>
    <col min="4" max="4" width="10.7109375" style="158" customWidth="1"/>
    <col min="5" max="5" width="8.5703125" style="156" customWidth="1"/>
    <col min="6" max="6" width="11" style="157" customWidth="1"/>
    <col min="7" max="7" width="6" style="159" customWidth="1"/>
    <col min="8" max="8" width="9.28515625" style="160" customWidth="1"/>
    <col min="9" max="9" width="8.42578125" style="157" customWidth="1"/>
    <col min="10" max="10" width="6.140625" style="157" customWidth="1"/>
    <col min="11" max="12" width="8.85546875" style="160" customWidth="1"/>
    <col min="13" max="13" width="10" style="161" bestFit="1" customWidth="1"/>
    <col min="14" max="14" width="10" style="161" customWidth="1"/>
    <col min="15" max="16" width="8.5703125" style="161" bestFit="1" customWidth="1"/>
    <col min="17" max="17" width="9.5703125" style="161" hidden="1" customWidth="1"/>
    <col min="18" max="18" width="9.7109375" style="162" customWidth="1"/>
    <col min="19" max="19" width="9.7109375" style="163" customWidth="1"/>
    <col min="20" max="20" width="7.5703125" style="157" bestFit="1" customWidth="1"/>
    <col min="21" max="21" width="7.7109375" style="156" customWidth="1"/>
    <col min="22" max="22" width="8" style="157" customWidth="1"/>
    <col min="23" max="23" width="13.42578125" style="163" customWidth="1"/>
    <col min="24" max="24" width="7.7109375" style="165" customWidth="1"/>
    <col min="25" max="25" width="7.7109375" style="157" customWidth="1"/>
    <col min="26" max="26" width="6.7109375" style="157" customWidth="1"/>
    <col min="27" max="27" width="6.5703125" style="156" customWidth="1"/>
    <col min="28" max="28" width="7.5703125" style="156" customWidth="1"/>
    <col min="29" max="29" width="9.42578125" style="156" customWidth="1"/>
    <col min="30" max="30" width="7.28515625" style="156" customWidth="1"/>
    <col min="31" max="31" width="4.42578125" style="157" hidden="1" customWidth="1"/>
    <col min="32" max="32" width="19.5703125" style="156" customWidth="1"/>
    <col min="33" max="33" width="9.140625" style="157"/>
    <col min="34" max="34" width="12.5703125" style="157" bestFit="1" customWidth="1"/>
    <col min="35" max="16384" width="9.140625" style="157"/>
  </cols>
  <sheetData>
    <row r="1" spans="1:35" s="26" customFormat="1" ht="25.5">
      <c r="A1" s="1157" t="str">
        <f>'Salary -Dec-2024 (Full)'!A1:AE1</f>
        <v>SQ Trading &amp; Engineering - FMD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  <c r="O1" s="1157"/>
      <c r="P1" s="1157"/>
      <c r="Q1" s="1157"/>
      <c r="R1" s="1157"/>
      <c r="S1" s="1157"/>
      <c r="T1" s="1157"/>
      <c r="U1" s="1157"/>
      <c r="V1" s="1157"/>
      <c r="W1" s="1157"/>
      <c r="X1" s="1157"/>
      <c r="Y1" s="1157"/>
      <c r="Z1" s="1157"/>
      <c r="AA1" s="1157"/>
      <c r="AB1" s="1157"/>
      <c r="AC1" s="1157"/>
      <c r="AD1" s="1157"/>
      <c r="AE1" s="1157"/>
      <c r="AF1" s="1157"/>
    </row>
    <row r="2" spans="1:35" s="26" customFormat="1" ht="18">
      <c r="A2" s="1158" t="s">
        <v>1</v>
      </c>
      <c r="B2" s="1158"/>
      <c r="C2" s="1158"/>
      <c r="D2" s="1158"/>
      <c r="E2" s="1158"/>
      <c r="F2" s="1158"/>
      <c r="G2" s="1158"/>
      <c r="H2" s="1158"/>
      <c r="I2" s="1158"/>
      <c r="J2" s="1158"/>
      <c r="K2" s="1158"/>
      <c r="L2" s="1158"/>
      <c r="M2" s="1158"/>
      <c r="N2" s="1158"/>
      <c r="O2" s="1158"/>
      <c r="P2" s="1158"/>
      <c r="Q2" s="1158"/>
      <c r="R2" s="1158"/>
      <c r="S2" s="1158"/>
      <c r="T2" s="1158"/>
      <c r="U2" s="1158"/>
      <c r="V2" s="1158"/>
      <c r="W2" s="1158"/>
      <c r="X2" s="1158"/>
      <c r="Y2" s="1158"/>
      <c r="Z2" s="1158"/>
      <c r="AA2" s="1158"/>
      <c r="AB2" s="1158"/>
      <c r="AC2" s="1158"/>
      <c r="AD2" s="1158"/>
      <c r="AE2" s="1158"/>
      <c r="AF2" s="1158"/>
    </row>
    <row r="3" spans="1:35" s="26" customFormat="1" ht="18">
      <c r="A3" s="1158" t="s">
        <v>1830</v>
      </c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E3" s="1158"/>
      <c r="AF3" s="1158"/>
    </row>
    <row r="4" spans="1:35" s="26" customFormat="1" ht="20.25">
      <c r="A4" s="27"/>
      <c r="B4" s="27"/>
      <c r="C4" s="27"/>
      <c r="D4" s="28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9" t="s">
        <v>2</v>
      </c>
      <c r="AG4" s="26" t="s">
        <v>1642</v>
      </c>
    </row>
    <row r="5" spans="1:35" s="30" customFormat="1" ht="15" customHeight="1">
      <c r="A5" s="1159" t="s">
        <v>3</v>
      </c>
      <c r="B5" s="1169" t="s">
        <v>30</v>
      </c>
      <c r="C5" s="1159" t="s">
        <v>31</v>
      </c>
      <c r="D5" s="1170" t="s">
        <v>32</v>
      </c>
      <c r="E5" s="1146" t="s">
        <v>33</v>
      </c>
      <c r="F5" s="1170" t="s">
        <v>34</v>
      </c>
      <c r="G5" s="1166" t="s">
        <v>35</v>
      </c>
      <c r="H5" s="1166" t="s">
        <v>36</v>
      </c>
      <c r="I5" s="1166" t="s">
        <v>37</v>
      </c>
      <c r="J5" s="1167" t="s">
        <v>1266</v>
      </c>
      <c r="K5" s="1166" t="s">
        <v>38</v>
      </c>
      <c r="L5" s="1167" t="s">
        <v>7</v>
      </c>
      <c r="M5" s="1163" t="s">
        <v>39</v>
      </c>
      <c r="N5" s="1163"/>
      <c r="O5" s="1163"/>
      <c r="P5" s="1163"/>
      <c r="Q5" s="1163"/>
      <c r="R5" s="1149" t="s">
        <v>7</v>
      </c>
      <c r="S5" s="1149" t="s">
        <v>8</v>
      </c>
      <c r="T5" s="1150" t="s">
        <v>9</v>
      </c>
      <c r="U5" s="1150"/>
      <c r="V5" s="1150"/>
      <c r="W5" s="1151" t="s">
        <v>40</v>
      </c>
      <c r="X5" s="1150" t="s">
        <v>10</v>
      </c>
      <c r="Y5" s="1150"/>
      <c r="Z5" s="1150"/>
      <c r="AA5" s="1150"/>
      <c r="AB5" s="1151" t="s">
        <v>11</v>
      </c>
      <c r="AC5" s="1152" t="s">
        <v>41</v>
      </c>
      <c r="AD5" s="1146" t="s">
        <v>42</v>
      </c>
      <c r="AE5" s="1171" t="s">
        <v>382</v>
      </c>
      <c r="AF5" s="1164" t="s">
        <v>43</v>
      </c>
    </row>
    <row r="6" spans="1:35" s="31" customFormat="1" ht="67.5" customHeight="1">
      <c r="A6" s="1159"/>
      <c r="B6" s="1169"/>
      <c r="C6" s="1159"/>
      <c r="D6" s="1170"/>
      <c r="E6" s="1146"/>
      <c r="F6" s="1170"/>
      <c r="G6" s="1166"/>
      <c r="H6" s="1166"/>
      <c r="I6" s="1166"/>
      <c r="J6" s="1168"/>
      <c r="K6" s="1166"/>
      <c r="L6" s="1168"/>
      <c r="M6" s="1059" t="s">
        <v>13</v>
      </c>
      <c r="N6" s="1059" t="s">
        <v>14</v>
      </c>
      <c r="O6" s="1060" t="s">
        <v>15</v>
      </c>
      <c r="P6" s="1060" t="s">
        <v>16</v>
      </c>
      <c r="Q6" s="1060" t="s">
        <v>17</v>
      </c>
      <c r="R6" s="1149"/>
      <c r="S6" s="1149"/>
      <c r="T6" s="1061" t="s">
        <v>18</v>
      </c>
      <c r="U6" s="1062" t="s">
        <v>19</v>
      </c>
      <c r="V6" s="1062" t="s">
        <v>20</v>
      </c>
      <c r="W6" s="1151"/>
      <c r="X6" s="1062" t="s">
        <v>21</v>
      </c>
      <c r="Y6" s="1062" t="s">
        <v>585</v>
      </c>
      <c r="Z6" s="1062" t="s">
        <v>22</v>
      </c>
      <c r="AA6" s="1062" t="s">
        <v>44</v>
      </c>
      <c r="AB6" s="1151"/>
      <c r="AC6" s="1152"/>
      <c r="AD6" s="1146"/>
      <c r="AE6" s="1171"/>
      <c r="AF6" s="1164"/>
    </row>
    <row r="7" spans="1:35" s="47" customFormat="1" ht="35.25" customHeight="1">
      <c r="A7" s="32" t="s">
        <v>1605</v>
      </c>
      <c r="B7" s="33"/>
      <c r="C7" s="34"/>
      <c r="D7" s="34"/>
      <c r="E7" s="35"/>
      <c r="F7" s="36"/>
      <c r="G7" s="37"/>
      <c r="H7" s="37"/>
      <c r="I7" s="38"/>
      <c r="J7" s="38"/>
      <c r="K7" s="37"/>
      <c r="L7" s="37"/>
      <c r="M7" s="39"/>
      <c r="N7" s="39"/>
      <c r="O7" s="39"/>
      <c r="P7" s="39"/>
      <c r="Q7" s="39"/>
      <c r="R7" s="40"/>
      <c r="S7" s="40"/>
      <c r="T7" s="41"/>
      <c r="U7" s="41"/>
      <c r="V7" s="42"/>
      <c r="W7" s="43"/>
      <c r="X7" s="41"/>
      <c r="Y7" s="44"/>
      <c r="Z7" s="41"/>
      <c r="AA7" s="41"/>
      <c r="AB7" s="45"/>
      <c r="AC7" s="45"/>
      <c r="AD7" s="46"/>
      <c r="AE7" s="181"/>
      <c r="AF7" s="46"/>
      <c r="AH7" s="182"/>
      <c r="AI7" s="183"/>
    </row>
    <row r="8" spans="1:35" s="61" customFormat="1" ht="34.5" customHeight="1">
      <c r="A8" s="1089">
        <v>1</v>
      </c>
      <c r="B8" s="1072" t="s">
        <v>1377</v>
      </c>
      <c r="C8" s="1073" t="s">
        <v>1378</v>
      </c>
      <c r="D8" s="1074" t="s">
        <v>1379</v>
      </c>
      <c r="E8" s="1074" t="s">
        <v>203</v>
      </c>
      <c r="F8" s="1075">
        <v>45444</v>
      </c>
      <c r="G8" s="1076">
        <f>VLOOKUP(B8,Attendance!$B$6:$G$386,6,0)</f>
        <v>31</v>
      </c>
      <c r="H8" s="1077">
        <f>VLOOKUP(B$8:B$322,Attendance!$B$6:$L$386,11,0)</f>
        <v>0</v>
      </c>
      <c r="I8" s="1076">
        <f>G8-H8</f>
        <v>31</v>
      </c>
      <c r="J8" s="1076">
        <f ca="1">TODAY()-F8</f>
        <v>248</v>
      </c>
      <c r="K8" s="1077">
        <f>R8/G8</f>
        <v>9032.2580645161288</v>
      </c>
      <c r="L8" s="1077">
        <v>280000</v>
      </c>
      <c r="M8" s="1078">
        <f t="shared" ref="M8" si="0">L8*60%</f>
        <v>168000</v>
      </c>
      <c r="N8" s="1078">
        <f t="shared" ref="N8" si="1">L8*30%</f>
        <v>84000</v>
      </c>
      <c r="O8" s="1078">
        <f t="shared" ref="O8" si="2">L8*6%</f>
        <v>16800</v>
      </c>
      <c r="P8" s="1078">
        <f t="shared" ref="P8" si="3">L8*4%</f>
        <v>11200</v>
      </c>
      <c r="Q8" s="1079">
        <v>0</v>
      </c>
      <c r="R8" s="1080">
        <f t="shared" ref="R8" si="4">SUM(M8:Q8)</f>
        <v>280000</v>
      </c>
      <c r="S8" s="1080">
        <f>ROUND(I8*K8,)</f>
        <v>280000</v>
      </c>
      <c r="T8" s="1081"/>
      <c r="U8" s="1081"/>
      <c r="V8" s="1082"/>
      <c r="W8" s="1083">
        <f>ROUND(SUM(S8:V8),0)</f>
        <v>280000</v>
      </c>
      <c r="X8" s="1084">
        <v>15935</v>
      </c>
      <c r="Y8" s="1084"/>
      <c r="Z8" s="1081"/>
      <c r="AA8" s="1081"/>
      <c r="AB8" s="1085">
        <f>SUM(X8:AA8)</f>
        <v>15935</v>
      </c>
      <c r="AC8" s="1085">
        <f>W8-AB8</f>
        <v>264065</v>
      </c>
      <c r="AD8" s="1086" t="s">
        <v>23</v>
      </c>
      <c r="AE8" s="1087"/>
      <c r="AF8" s="1088" t="s">
        <v>1384</v>
      </c>
      <c r="AG8" s="798"/>
      <c r="AH8" s="197"/>
      <c r="AI8" s="198"/>
    </row>
    <row r="9" spans="1:35" s="30" customFormat="1" ht="24.95" customHeight="1">
      <c r="A9" s="1063"/>
      <c r="B9" s="1064"/>
      <c r="C9" s="1065"/>
      <c r="D9" s="1066"/>
      <c r="E9" s="1067"/>
      <c r="F9" s="1068"/>
      <c r="G9" s="1069"/>
      <c r="H9" s="1069"/>
      <c r="I9" s="1070"/>
      <c r="J9" s="1070"/>
      <c r="K9" s="1070"/>
      <c r="L9" s="1070"/>
      <c r="M9" s="1037">
        <f t="shared" ref="M9:AB9" si="5">SUM(M8:M8)</f>
        <v>168000</v>
      </c>
      <c r="N9" s="1037">
        <f t="shared" si="5"/>
        <v>84000</v>
      </c>
      <c r="O9" s="1037">
        <f t="shared" si="5"/>
        <v>16800</v>
      </c>
      <c r="P9" s="1037">
        <f t="shared" si="5"/>
        <v>11200</v>
      </c>
      <c r="Q9" s="1037">
        <f t="shared" si="5"/>
        <v>0</v>
      </c>
      <c r="R9" s="1037">
        <f t="shared" si="5"/>
        <v>280000</v>
      </c>
      <c r="S9" s="1037">
        <f t="shared" si="5"/>
        <v>280000</v>
      </c>
      <c r="T9" s="1037">
        <f t="shared" si="5"/>
        <v>0</v>
      </c>
      <c r="U9" s="1037">
        <f t="shared" si="5"/>
        <v>0</v>
      </c>
      <c r="V9" s="1037">
        <f t="shared" si="5"/>
        <v>0</v>
      </c>
      <c r="W9" s="1037">
        <f t="shared" si="5"/>
        <v>280000</v>
      </c>
      <c r="X9" s="1037">
        <f t="shared" si="5"/>
        <v>15935</v>
      </c>
      <c r="Y9" s="1037">
        <f t="shared" si="5"/>
        <v>0</v>
      </c>
      <c r="Z9" s="1037">
        <f t="shared" si="5"/>
        <v>0</v>
      </c>
      <c r="AA9" s="1037">
        <f t="shared" si="5"/>
        <v>0</v>
      </c>
      <c r="AB9" s="1037">
        <f t="shared" si="5"/>
        <v>15935</v>
      </c>
      <c r="AC9" s="1037">
        <f>SUM(AC8:AC8)</f>
        <v>264065</v>
      </c>
      <c r="AD9" s="1038"/>
      <c r="AE9" s="1071"/>
      <c r="AF9" s="1039"/>
      <c r="AH9" s="197"/>
      <c r="AI9" s="200"/>
    </row>
    <row r="10" spans="1:35" s="47" customFormat="1" ht="16.5">
      <c r="A10" s="201"/>
      <c r="B10" s="202"/>
      <c r="C10" s="203"/>
      <c r="D10" s="204"/>
      <c r="E10" s="205"/>
      <c r="F10" s="206"/>
      <c r="G10" s="204"/>
      <c r="H10" s="207"/>
      <c r="I10" s="208"/>
      <c r="J10" s="208"/>
      <c r="K10" s="207"/>
      <c r="L10" s="207"/>
      <c r="M10" s="209"/>
      <c r="N10" s="209"/>
      <c r="O10" s="209"/>
      <c r="P10" s="209"/>
      <c r="Q10" s="210"/>
      <c r="R10" s="138"/>
      <c r="S10" s="138"/>
      <c r="T10" s="211"/>
      <c r="U10" s="211"/>
      <c r="V10" s="212"/>
      <c r="W10" s="213"/>
      <c r="X10" s="209"/>
      <c r="Y10" s="214"/>
      <c r="Z10" s="211"/>
      <c r="AA10" s="211"/>
      <c r="AB10" s="182"/>
      <c r="AC10" s="182"/>
      <c r="AD10" s="215"/>
      <c r="AE10" s="216"/>
      <c r="AF10" s="205"/>
      <c r="AH10" s="182"/>
      <c r="AI10" s="183"/>
    </row>
    <row r="11" spans="1:35" s="142" customFormat="1" ht="24.95" customHeight="1">
      <c r="A11" s="1165" t="s">
        <v>390</v>
      </c>
      <c r="B11" s="1165"/>
      <c r="C11" s="1165"/>
      <c r="D11" s="1165"/>
      <c r="E11" s="1165"/>
      <c r="F11" s="1165"/>
      <c r="G11" s="1165"/>
      <c r="H11" s="1165"/>
      <c r="I11" s="1165"/>
      <c r="J11" s="519"/>
      <c r="K11" s="230"/>
      <c r="L11" s="230"/>
      <c r="M11" s="231">
        <f>M8</f>
        <v>168000</v>
      </c>
      <c r="N11" s="231">
        <f>N8</f>
        <v>84000</v>
      </c>
      <c r="O11" s="231">
        <f>O8</f>
        <v>16800</v>
      </c>
      <c r="P11" s="231">
        <f t="shared" ref="P11:AC11" si="6">P8</f>
        <v>11200</v>
      </c>
      <c r="Q11" s="231">
        <f t="shared" si="6"/>
        <v>0</v>
      </c>
      <c r="R11" s="231">
        <f t="shared" si="6"/>
        <v>280000</v>
      </c>
      <c r="S11" s="231">
        <f t="shared" si="6"/>
        <v>280000</v>
      </c>
      <c r="T11" s="231">
        <f t="shared" si="6"/>
        <v>0</v>
      </c>
      <c r="U11" s="231">
        <f t="shared" si="6"/>
        <v>0</v>
      </c>
      <c r="V11" s="231">
        <f t="shared" si="6"/>
        <v>0</v>
      </c>
      <c r="W11" s="231">
        <f t="shared" si="6"/>
        <v>280000</v>
      </c>
      <c r="X11" s="231">
        <f>X8</f>
        <v>15935</v>
      </c>
      <c r="Y11" s="231">
        <f t="shared" si="6"/>
        <v>0</v>
      </c>
      <c r="Z11" s="231">
        <f t="shared" si="6"/>
        <v>0</v>
      </c>
      <c r="AA11" s="231">
        <f t="shared" si="6"/>
        <v>0</v>
      </c>
      <c r="AB11" s="231">
        <f t="shared" si="6"/>
        <v>15935</v>
      </c>
      <c r="AC11" s="231">
        <f t="shared" si="6"/>
        <v>264065</v>
      </c>
      <c r="AD11" s="232"/>
      <c r="AE11" s="233"/>
      <c r="AF11" s="234"/>
      <c r="AH11" s="182"/>
      <c r="AI11" s="223"/>
    </row>
    <row r="12" spans="1:35" s="142" customFormat="1" ht="24.95" customHeight="1">
      <c r="A12" s="132"/>
      <c r="B12" s="133"/>
      <c r="C12" s="134"/>
      <c r="D12" s="135"/>
      <c r="E12" s="136"/>
      <c r="F12" s="137"/>
      <c r="G12" s="138"/>
      <c r="H12" s="138"/>
      <c r="I12" s="139"/>
      <c r="J12" s="139"/>
      <c r="K12" s="139"/>
      <c r="L12" s="139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1"/>
      <c r="AE12" s="235"/>
      <c r="AF12" s="136"/>
      <c r="AH12" s="182"/>
      <c r="AI12" s="223"/>
    </row>
    <row r="13" spans="1:35" s="130" customFormat="1" ht="20.100000000000001" customHeight="1">
      <c r="A13" s="121"/>
      <c r="B13" s="121"/>
      <c r="C13" s="122"/>
      <c r="D13" s="143"/>
      <c r="E13" s="121"/>
      <c r="F13" s="122"/>
      <c r="G13" s="124"/>
      <c r="H13" s="124"/>
      <c r="I13" s="123"/>
      <c r="J13" s="123"/>
      <c r="K13" s="236"/>
      <c r="L13" s="236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X13" s="127" t="s">
        <v>29</v>
      </c>
      <c r="Z13" s="126"/>
      <c r="AA13" s="125"/>
      <c r="AC13" s="127" t="s">
        <v>23</v>
      </c>
      <c r="AD13" s="128" t="s">
        <v>24</v>
      </c>
      <c r="AE13" s="237"/>
      <c r="AF13" s="15">
        <f>AC11-AF14</f>
        <v>164065</v>
      </c>
      <c r="AH13" s="182"/>
    </row>
    <row r="14" spans="1:35" s="130" customFormat="1" ht="20.100000000000001" customHeight="1">
      <c r="A14" s="121"/>
      <c r="B14" s="121"/>
      <c r="C14" s="122"/>
      <c r="D14" s="143"/>
      <c r="E14" s="121"/>
      <c r="F14" s="122"/>
      <c r="G14" s="124"/>
      <c r="H14" s="124"/>
      <c r="I14" s="123"/>
      <c r="J14" s="123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4"/>
      <c r="X14" s="125"/>
      <c r="Z14" s="126"/>
      <c r="AA14" s="125"/>
      <c r="AC14" s="127" t="s">
        <v>25</v>
      </c>
      <c r="AD14" s="128" t="s">
        <v>24</v>
      </c>
      <c r="AE14" s="237"/>
      <c r="AF14" s="15">
        <v>100000</v>
      </c>
      <c r="AH14" s="182"/>
    </row>
    <row r="15" spans="1:35" s="130" customFormat="1" ht="20.100000000000001" customHeight="1" thickBot="1">
      <c r="A15" s="121"/>
      <c r="B15" s="121"/>
      <c r="C15" s="122"/>
      <c r="D15" s="143"/>
      <c r="E15" s="121"/>
      <c r="F15" s="122"/>
      <c r="G15" s="124"/>
      <c r="H15" s="124"/>
      <c r="I15" s="123"/>
      <c r="J15" s="123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4"/>
      <c r="X15" s="125"/>
      <c r="Z15" s="126"/>
      <c r="AA15" s="125"/>
      <c r="AB15" s="125"/>
      <c r="AC15" s="127"/>
      <c r="AD15" s="128"/>
      <c r="AE15" s="237"/>
      <c r="AF15" s="144">
        <f>SUM(AF13:AF14)</f>
        <v>264065</v>
      </c>
      <c r="AH15" s="182"/>
    </row>
    <row r="16" spans="1:35" s="130" customFormat="1" ht="20.100000000000001" customHeight="1" thickTop="1">
      <c r="A16" s="121"/>
      <c r="B16" s="121"/>
      <c r="C16" s="122"/>
      <c r="D16" s="143"/>
      <c r="E16" s="121"/>
      <c r="F16" s="122"/>
      <c r="G16" s="124"/>
      <c r="H16" s="124"/>
      <c r="I16" s="123"/>
      <c r="J16" s="123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4"/>
      <c r="X16" s="127"/>
      <c r="Z16" s="126"/>
      <c r="AA16" s="125"/>
      <c r="AB16" s="125"/>
      <c r="AC16" s="127"/>
      <c r="AD16" s="128"/>
      <c r="AE16" s="237"/>
      <c r="AF16" s="129"/>
      <c r="AH16" s="182"/>
    </row>
    <row r="17" spans="1:34" s="130" customFormat="1" ht="20.100000000000001" customHeight="1">
      <c r="A17" s="121"/>
      <c r="B17" s="121"/>
      <c r="C17" s="122"/>
      <c r="D17" s="143"/>
      <c r="E17" s="121"/>
      <c r="F17" s="122"/>
      <c r="G17" s="124"/>
      <c r="H17" s="124"/>
      <c r="I17" s="123"/>
      <c r="J17" s="123"/>
      <c r="K17" s="124"/>
      <c r="L17" s="124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4"/>
      <c r="X17" s="127"/>
      <c r="Z17" s="126"/>
      <c r="AA17" s="125"/>
      <c r="AB17" s="125"/>
      <c r="AC17" s="127"/>
      <c r="AD17" s="128"/>
      <c r="AE17" s="237"/>
      <c r="AF17" s="129"/>
      <c r="AH17" s="182"/>
    </row>
    <row r="18" spans="1:34" s="130" customFormat="1" ht="20.100000000000001" customHeight="1">
      <c r="A18" s="121"/>
      <c r="B18" s="121"/>
      <c r="C18" s="122"/>
      <c r="D18" s="143"/>
      <c r="E18" s="121"/>
      <c r="F18" s="122"/>
      <c r="G18" s="124"/>
      <c r="H18" s="124"/>
      <c r="I18" s="123"/>
      <c r="J18" s="123"/>
      <c r="K18" s="124"/>
      <c r="L18" s="124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4"/>
      <c r="X18" s="127"/>
      <c r="Z18" s="126"/>
      <c r="AA18" s="125"/>
      <c r="AB18" s="125"/>
      <c r="AC18" s="127"/>
      <c r="AD18" s="128"/>
      <c r="AE18" s="237"/>
      <c r="AF18" s="129"/>
      <c r="AH18" s="182"/>
    </row>
    <row r="19" spans="1:34" s="130" customFormat="1" ht="20.100000000000001" customHeight="1">
      <c r="A19" s="121"/>
      <c r="B19" s="121"/>
      <c r="C19" s="122"/>
      <c r="D19" s="143"/>
      <c r="E19" s="121"/>
      <c r="F19" s="122"/>
      <c r="G19" s="124"/>
      <c r="H19" s="124"/>
      <c r="I19" s="123"/>
      <c r="J19" s="123"/>
      <c r="K19" s="124"/>
      <c r="L19" s="124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4"/>
      <c r="X19" s="127"/>
      <c r="Z19" s="126"/>
      <c r="AA19" s="125"/>
      <c r="AB19" s="125"/>
      <c r="AC19" s="127"/>
      <c r="AD19" s="128"/>
      <c r="AE19" s="237"/>
      <c r="AF19" s="129"/>
      <c r="AH19" s="182"/>
    </row>
    <row r="20" spans="1:34" s="130" customFormat="1" ht="20.100000000000001" customHeight="1">
      <c r="A20" s="121"/>
      <c r="B20" s="121"/>
      <c r="C20" s="122"/>
      <c r="D20" s="143"/>
      <c r="E20" s="121"/>
      <c r="F20" s="122"/>
      <c r="G20" s="124"/>
      <c r="H20" s="124"/>
      <c r="I20" s="123"/>
      <c r="J20" s="123"/>
      <c r="K20" s="124"/>
      <c r="L20" s="124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4"/>
      <c r="X20" s="127"/>
      <c r="Z20" s="126"/>
      <c r="AA20" s="125"/>
      <c r="AB20" s="125"/>
      <c r="AC20" s="127"/>
      <c r="AD20" s="128"/>
      <c r="AE20" s="237"/>
      <c r="AF20" s="129"/>
      <c r="AH20" s="182"/>
    </row>
    <row r="21" spans="1:34" s="130" customFormat="1" ht="20.100000000000001" customHeight="1">
      <c r="A21" s="121"/>
      <c r="B21" s="121"/>
      <c r="C21" s="122"/>
      <c r="D21" s="143"/>
      <c r="E21" s="121"/>
      <c r="F21" s="122"/>
      <c r="G21" s="124"/>
      <c r="H21" s="124"/>
      <c r="I21" s="123"/>
      <c r="J21" s="123"/>
      <c r="K21" s="124"/>
      <c r="L21" s="124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4"/>
      <c r="X21" s="14"/>
      <c r="Y21" s="125"/>
      <c r="Z21" s="126"/>
      <c r="AA21" s="125"/>
      <c r="AB21" s="238"/>
      <c r="AC21" s="240"/>
      <c r="AD21" s="128"/>
      <c r="AE21" s="237"/>
      <c r="AF21" s="241"/>
      <c r="AH21" s="182"/>
    </row>
    <row r="22" spans="1:34" s="130" customFormat="1" ht="20.100000000000001" customHeight="1">
      <c r="A22" s="121"/>
      <c r="B22" s="121"/>
      <c r="C22" s="122"/>
      <c r="D22" s="143"/>
      <c r="E22" s="121"/>
      <c r="F22" s="122"/>
      <c r="G22" s="124"/>
      <c r="H22" s="124"/>
      <c r="I22" s="123"/>
      <c r="J22" s="123"/>
      <c r="K22" s="124"/>
      <c r="L22" s="124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4"/>
      <c r="X22" s="14"/>
      <c r="Y22" s="125"/>
      <c r="Z22" s="126"/>
      <c r="AA22" s="125"/>
      <c r="AB22" s="238"/>
      <c r="AC22" s="240"/>
      <c r="AD22" s="128"/>
      <c r="AE22" s="237"/>
      <c r="AF22" s="241"/>
      <c r="AH22" s="182"/>
    </row>
    <row r="23" spans="1:34" s="130" customFormat="1" ht="20.100000000000001" customHeight="1">
      <c r="A23" s="121"/>
      <c r="B23" s="121"/>
      <c r="C23" s="122"/>
      <c r="D23" s="143"/>
      <c r="E23" s="121"/>
      <c r="F23" s="122"/>
      <c r="G23" s="124"/>
      <c r="H23" s="124"/>
      <c r="I23" s="123"/>
      <c r="J23" s="123"/>
      <c r="K23" s="124"/>
      <c r="L23" s="124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4"/>
      <c r="X23" s="14"/>
      <c r="Y23" s="125"/>
      <c r="Z23" s="126"/>
      <c r="AA23" s="125"/>
      <c r="AB23" s="238"/>
      <c r="AC23" s="240"/>
      <c r="AD23" s="128"/>
      <c r="AE23" s="237"/>
      <c r="AF23" s="241"/>
      <c r="AH23" s="182"/>
    </row>
    <row r="24" spans="1:34" s="130" customFormat="1" ht="19.5" customHeight="1">
      <c r="A24" s="121"/>
      <c r="B24" s="121"/>
      <c r="C24" s="122"/>
      <c r="D24" s="143"/>
      <c r="E24" s="121"/>
      <c r="F24" s="122"/>
      <c r="G24" s="124"/>
      <c r="H24" s="124"/>
      <c r="I24" s="123"/>
      <c r="J24" s="123"/>
      <c r="K24" s="124"/>
      <c r="L24" s="124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4"/>
      <c r="X24" s="14"/>
      <c r="Y24" s="127"/>
      <c r="Z24" s="127"/>
      <c r="AA24" s="239"/>
      <c r="AB24" s="238"/>
      <c r="AC24" s="240"/>
      <c r="AD24" s="128"/>
      <c r="AE24" s="237"/>
      <c r="AF24" s="241"/>
      <c r="AH24" s="182"/>
    </row>
    <row r="25" spans="1:34" s="130" customFormat="1" ht="19.5" customHeight="1">
      <c r="A25" s="121"/>
      <c r="B25" s="121"/>
      <c r="C25" s="122"/>
      <c r="D25" s="143"/>
      <c r="E25" s="121"/>
      <c r="F25" s="122"/>
      <c r="G25" s="124"/>
      <c r="H25" s="124"/>
      <c r="I25" s="123"/>
      <c r="J25" s="123"/>
      <c r="K25" s="124"/>
      <c r="L25" s="124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4"/>
      <c r="X25" s="14"/>
      <c r="Y25" s="14"/>
      <c r="Z25" s="14"/>
      <c r="AA25" s="13"/>
      <c r="AB25" s="12"/>
      <c r="AC25" s="12"/>
      <c r="AE25" s="242"/>
      <c r="AF25" s="129"/>
      <c r="AH25" s="182"/>
    </row>
    <row r="26" spans="1:34" s="130" customFormat="1" ht="16.5">
      <c r="A26" s="121"/>
      <c r="B26" s="121"/>
      <c r="C26" s="122"/>
      <c r="D26" s="143"/>
      <c r="E26" s="121"/>
      <c r="F26" s="122"/>
      <c r="G26" s="124"/>
      <c r="H26" s="124"/>
      <c r="I26" s="123"/>
      <c r="J26" s="123"/>
      <c r="K26" s="124"/>
      <c r="L26" s="124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45"/>
      <c r="AE26" s="242"/>
      <c r="AF26" s="145"/>
      <c r="AH26" s="182"/>
    </row>
    <row r="27" spans="1:34" s="130" customFormat="1" ht="19.5" customHeight="1">
      <c r="A27" s="121"/>
      <c r="B27" s="121"/>
      <c r="C27" s="122"/>
      <c r="D27" s="143"/>
      <c r="E27" s="121"/>
      <c r="F27" s="122"/>
      <c r="G27" s="124"/>
      <c r="H27" s="124"/>
      <c r="I27" s="123"/>
      <c r="J27" s="123"/>
      <c r="K27" s="124"/>
      <c r="L27" s="124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45"/>
      <c r="AE27" s="242"/>
      <c r="AF27" s="145"/>
      <c r="AH27" s="182"/>
    </row>
    <row r="28" spans="1:34" s="130" customFormat="1" ht="19.5" customHeight="1">
      <c r="A28" s="121"/>
      <c r="B28" s="121"/>
      <c r="C28" s="122"/>
      <c r="D28" s="143"/>
      <c r="E28" s="121"/>
      <c r="F28" s="122"/>
      <c r="G28" s="124"/>
      <c r="H28" s="124"/>
      <c r="I28" s="123"/>
      <c r="J28" s="123"/>
      <c r="K28" s="124"/>
      <c r="L28" s="124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45"/>
      <c r="AE28" s="242"/>
      <c r="AF28" s="145"/>
      <c r="AH28" s="182"/>
    </row>
    <row r="29" spans="1:34" s="130" customFormat="1" ht="19.5" customHeight="1">
      <c r="A29" s="121"/>
      <c r="B29" s="121"/>
      <c r="C29" s="122"/>
      <c r="D29" s="143"/>
      <c r="E29" s="121"/>
      <c r="F29" s="122"/>
      <c r="G29" s="124"/>
      <c r="H29" s="124"/>
      <c r="I29" s="123"/>
      <c r="J29" s="123"/>
      <c r="K29" s="124"/>
      <c r="L29" s="124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Y29" s="146"/>
      <c r="Z29" s="123"/>
      <c r="AA29" s="123"/>
      <c r="AB29" s="123"/>
      <c r="AC29" s="123"/>
      <c r="AD29" s="145"/>
      <c r="AE29" s="242"/>
      <c r="AF29" s="123"/>
      <c r="AH29" s="182"/>
    </row>
    <row r="30" spans="1:34" s="17" customFormat="1" ht="16.5">
      <c r="B30" s="18"/>
      <c r="C30" s="18"/>
      <c r="D30" s="147"/>
      <c r="E30" s="148"/>
      <c r="F30" s="18"/>
      <c r="G30" s="18"/>
      <c r="H30" s="18"/>
      <c r="I30" s="18"/>
      <c r="J30" s="18"/>
      <c r="K30" s="18"/>
      <c r="L30" s="18"/>
      <c r="M30" s="18"/>
      <c r="N30" s="18"/>
      <c r="O30" s="18"/>
      <c r="R30" s="18"/>
      <c r="S30" s="18"/>
      <c r="T30" s="18"/>
      <c r="U30" s="18"/>
      <c r="V30" s="18"/>
      <c r="W30" s="18"/>
      <c r="AA30" s="18"/>
      <c r="AB30" s="18"/>
      <c r="AC30" s="18"/>
      <c r="AD30" s="18"/>
      <c r="AE30" s="18"/>
      <c r="AF30" s="18"/>
      <c r="AH30" s="182"/>
    </row>
    <row r="31" spans="1:34" s="130" customFormat="1" ht="19.5" customHeight="1">
      <c r="A31" s="121"/>
      <c r="B31" s="121"/>
      <c r="C31" s="122"/>
      <c r="D31" s="143"/>
      <c r="E31" s="121"/>
      <c r="F31" s="122"/>
      <c r="G31" s="124"/>
      <c r="H31" s="124"/>
      <c r="I31" s="123"/>
      <c r="J31" s="123"/>
      <c r="K31" s="124"/>
      <c r="L31" s="124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45"/>
      <c r="AE31" s="242"/>
      <c r="AF31" s="145"/>
      <c r="AH31" s="182"/>
    </row>
    <row r="32" spans="1:34" s="155" customFormat="1" ht="19.5" customHeight="1">
      <c r="A32" s="149"/>
      <c r="B32" s="149"/>
      <c r="C32" s="150"/>
      <c r="D32" s="151"/>
      <c r="E32" s="149"/>
      <c r="F32" s="150"/>
      <c r="G32" s="152"/>
      <c r="H32" s="152"/>
      <c r="I32" s="153"/>
      <c r="J32" s="153"/>
      <c r="K32" s="152"/>
      <c r="L32" s="152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23"/>
      <c r="Y32" s="153"/>
      <c r="Z32" s="153"/>
      <c r="AA32" s="153"/>
      <c r="AB32" s="153"/>
      <c r="AC32" s="153"/>
      <c r="AD32" s="154"/>
      <c r="AE32" s="243"/>
      <c r="AF32" s="154"/>
      <c r="AH32" s="197"/>
    </row>
    <row r="33" spans="1:34" ht="21" customHeight="1">
      <c r="W33" s="164"/>
      <c r="AH33" s="197"/>
    </row>
    <row r="34" spans="1:34" s="167" customFormat="1" ht="18">
      <c r="A34" s="166"/>
      <c r="B34" s="166"/>
      <c r="D34" s="168"/>
      <c r="E34" s="166"/>
      <c r="G34" s="169"/>
      <c r="H34" s="170"/>
      <c r="K34" s="170"/>
      <c r="L34" s="170"/>
      <c r="M34" s="171"/>
      <c r="N34" s="171"/>
      <c r="O34" s="171"/>
      <c r="P34" s="171"/>
      <c r="Q34" s="171"/>
      <c r="R34" s="172"/>
      <c r="S34" s="173"/>
      <c r="U34" s="166"/>
      <c r="W34" s="173"/>
      <c r="X34" s="174"/>
      <c r="Y34" s="175"/>
      <c r="Z34" s="176"/>
      <c r="AA34" s="166"/>
      <c r="AB34" s="166"/>
      <c r="AC34" s="166"/>
      <c r="AD34" s="166"/>
      <c r="AF34" s="166"/>
      <c r="AH34" s="197"/>
    </row>
    <row r="35" spans="1:34" s="167" customFormat="1" ht="18">
      <c r="A35" s="166"/>
      <c r="B35" s="166"/>
      <c r="D35" s="168"/>
      <c r="E35" s="166"/>
      <c r="H35" s="170"/>
      <c r="K35" s="169"/>
      <c r="L35" s="169"/>
      <c r="M35" s="171"/>
      <c r="N35" s="172"/>
      <c r="P35" s="171"/>
      <c r="S35" s="173"/>
      <c r="U35" s="166"/>
      <c r="W35" s="173"/>
      <c r="X35" s="174"/>
      <c r="AA35" s="166"/>
      <c r="AB35" s="166"/>
      <c r="AC35" s="166"/>
      <c r="AD35" s="166"/>
      <c r="AF35" s="166"/>
      <c r="AH35" s="197"/>
    </row>
    <row r="36" spans="1:34" s="167" customFormat="1" ht="18">
      <c r="D36" s="168"/>
      <c r="E36" s="166"/>
      <c r="H36" s="170"/>
      <c r="K36" s="170"/>
      <c r="L36" s="170"/>
      <c r="S36" s="166"/>
      <c r="T36" s="177"/>
      <c r="U36" s="178"/>
      <c r="W36" s="173"/>
      <c r="X36" s="174"/>
      <c r="AD36" s="166"/>
      <c r="AF36" s="166"/>
      <c r="AH36" s="197"/>
    </row>
    <row r="37" spans="1:34" s="167" customFormat="1" ht="18">
      <c r="D37" s="168"/>
      <c r="E37" s="166"/>
      <c r="F37" s="179"/>
      <c r="H37" s="170"/>
      <c r="K37" s="170"/>
      <c r="L37" s="170"/>
      <c r="S37" s="166"/>
      <c r="T37" s="177"/>
      <c r="U37" s="178"/>
      <c r="W37" s="173"/>
      <c r="X37" s="174"/>
      <c r="AD37" s="166"/>
      <c r="AF37" s="166"/>
    </row>
    <row r="38" spans="1:34" s="167" customFormat="1" ht="18">
      <c r="D38" s="168"/>
      <c r="E38" s="166"/>
      <c r="H38" s="170"/>
      <c r="K38" s="170"/>
      <c r="L38" s="170"/>
      <c r="S38" s="166"/>
      <c r="W38" s="173"/>
      <c r="X38" s="174"/>
      <c r="AD38" s="166"/>
      <c r="AF38" s="166"/>
    </row>
    <row r="39" spans="1:34" ht="18">
      <c r="A39" s="167"/>
      <c r="B39" s="167"/>
      <c r="C39" s="167"/>
      <c r="F39" s="167"/>
      <c r="K39" s="170"/>
      <c r="L39" s="170"/>
      <c r="M39" s="167"/>
      <c r="N39" s="167"/>
      <c r="O39" s="167"/>
      <c r="P39" s="167"/>
      <c r="S39" s="166"/>
      <c r="AB39" s="167"/>
      <c r="AC39" s="167"/>
      <c r="AD39" s="166"/>
      <c r="AE39" s="167"/>
    </row>
    <row r="56" spans="2:2" ht="20.25">
      <c r="B56" s="180"/>
    </row>
  </sheetData>
  <mergeCells count="27">
    <mergeCell ref="A1:AF1"/>
    <mergeCell ref="A2:AF2"/>
    <mergeCell ref="A3:AF3"/>
    <mergeCell ref="A5:A6"/>
    <mergeCell ref="B5:B6"/>
    <mergeCell ref="C5:C6"/>
    <mergeCell ref="D5:D6"/>
    <mergeCell ref="E5:E6"/>
    <mergeCell ref="F5:F6"/>
    <mergeCell ref="G5:G6"/>
    <mergeCell ref="AC5:AC6"/>
    <mergeCell ref="AD5:AD6"/>
    <mergeCell ref="AE5:AE6"/>
    <mergeCell ref="AF5:AF6"/>
    <mergeCell ref="X5:AA5"/>
    <mergeCell ref="AB5:AB6"/>
    <mergeCell ref="A11:I11"/>
    <mergeCell ref="R5:R6"/>
    <mergeCell ref="S5:S6"/>
    <mergeCell ref="T5:V5"/>
    <mergeCell ref="W5:W6"/>
    <mergeCell ref="M5:Q5"/>
    <mergeCell ref="H5:H6"/>
    <mergeCell ref="I5:I6"/>
    <mergeCell ref="J5:J6"/>
    <mergeCell ref="K5:K6"/>
    <mergeCell ref="L5:L6"/>
  </mergeCells>
  <printOptions horizontalCentered="1"/>
  <pageMargins left="0.19685039370078741" right="0" top="0.55118110236220474" bottom="0.62992125984251968" header="0.31496062992125984" footer="0.6692913385826772"/>
  <pageSetup paperSize="9" scale="51" fitToHeight="0" orientation="landscape" verticalDpi="1200" r:id="rId1"/>
  <headerFooter>
    <oddFooter xml:space="preserve">&amp;C                                                                                             &amp;R&amp;"-,Bold"&amp;14Page &amp;P of &amp;N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  <pageSetUpPr fitToPage="1"/>
  </sheetPr>
  <dimension ref="A1:AI56"/>
  <sheetViews>
    <sheetView view="pageBreakPreview" zoomScale="85" zoomScaleNormal="100" zoomScaleSheetLayoutView="85" zoomScalePageLayoutView="80" workbookViewId="0">
      <selection activeCell="AG4" sqref="AG4"/>
    </sheetView>
  </sheetViews>
  <sheetFormatPr defaultColWidth="9.140625" defaultRowHeight="12.75"/>
  <cols>
    <col min="1" max="1" width="4.140625" style="156" customWidth="1"/>
    <col min="2" max="2" width="13.42578125" style="156" customWidth="1"/>
    <col min="3" max="3" width="20.140625" style="157" customWidth="1"/>
    <col min="4" max="4" width="10.7109375" style="158" customWidth="1"/>
    <col min="5" max="5" width="8.5703125" style="156" customWidth="1"/>
    <col min="6" max="6" width="11" style="157" customWidth="1"/>
    <col min="7" max="7" width="6" style="159" customWidth="1"/>
    <col min="8" max="8" width="9.28515625" style="160" customWidth="1"/>
    <col min="9" max="9" width="8.42578125" style="157" customWidth="1"/>
    <col min="10" max="10" width="6.140625" style="157" customWidth="1"/>
    <col min="11" max="12" width="8.85546875" style="160" customWidth="1"/>
    <col min="13" max="13" width="10" style="161" bestFit="1" customWidth="1"/>
    <col min="14" max="14" width="10" style="161" customWidth="1"/>
    <col min="15" max="16" width="8.5703125" style="161" bestFit="1" customWidth="1"/>
    <col min="17" max="17" width="9.5703125" style="161" hidden="1" customWidth="1"/>
    <col min="18" max="18" width="9.7109375" style="162" customWidth="1"/>
    <col min="19" max="19" width="9.7109375" style="163" customWidth="1"/>
    <col min="20" max="20" width="7.5703125" style="157" bestFit="1" customWidth="1"/>
    <col min="21" max="21" width="7.7109375" style="156" customWidth="1"/>
    <col min="22" max="22" width="8" style="157" customWidth="1"/>
    <col min="23" max="23" width="13.42578125" style="163" customWidth="1"/>
    <col min="24" max="24" width="7.7109375" style="165" customWidth="1"/>
    <col min="25" max="25" width="7.7109375" style="157" customWidth="1"/>
    <col min="26" max="26" width="6.7109375" style="157" customWidth="1"/>
    <col min="27" max="27" width="6.5703125" style="156" customWidth="1"/>
    <col min="28" max="28" width="7.5703125" style="156" customWidth="1"/>
    <col min="29" max="29" width="9.42578125" style="156" customWidth="1"/>
    <col min="30" max="30" width="7.28515625" style="156" customWidth="1"/>
    <col min="31" max="31" width="4.42578125" style="157" hidden="1" customWidth="1"/>
    <col min="32" max="32" width="19.5703125" style="156" customWidth="1"/>
    <col min="33" max="33" width="9.140625" style="157"/>
    <col min="34" max="34" width="12.5703125" style="157" bestFit="1" customWidth="1"/>
    <col min="35" max="16384" width="9.140625" style="157"/>
  </cols>
  <sheetData>
    <row r="1" spans="1:35" s="26" customFormat="1" ht="25.5">
      <c r="A1" s="1157" t="str">
        <f>[1]Summary!A1</f>
        <v>SQ Trading &amp; Engineering - FMD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  <c r="O1" s="1157"/>
      <c r="P1" s="1157"/>
      <c r="Q1" s="1157"/>
      <c r="R1" s="1157"/>
      <c r="S1" s="1157"/>
      <c r="T1" s="1157"/>
      <c r="U1" s="1157"/>
      <c r="V1" s="1157"/>
      <c r="W1" s="1157"/>
      <c r="X1" s="1157"/>
      <c r="Y1" s="1157"/>
      <c r="Z1" s="1157"/>
      <c r="AA1" s="1157"/>
      <c r="AB1" s="1157"/>
      <c r="AC1" s="1157"/>
      <c r="AD1" s="1157"/>
      <c r="AE1" s="1157"/>
      <c r="AF1" s="1157"/>
    </row>
    <row r="2" spans="1:35" s="26" customFormat="1" ht="18">
      <c r="A2" s="1158" t="s">
        <v>1</v>
      </c>
      <c r="B2" s="1158"/>
      <c r="C2" s="1158"/>
      <c r="D2" s="1158"/>
      <c r="E2" s="1158"/>
      <c r="F2" s="1158"/>
      <c r="G2" s="1158"/>
      <c r="H2" s="1158"/>
      <c r="I2" s="1158"/>
      <c r="J2" s="1158"/>
      <c r="K2" s="1158"/>
      <c r="L2" s="1158"/>
      <c r="M2" s="1158"/>
      <c r="N2" s="1158"/>
      <c r="O2" s="1158"/>
      <c r="P2" s="1158"/>
      <c r="Q2" s="1158"/>
      <c r="R2" s="1158"/>
      <c r="S2" s="1158"/>
      <c r="T2" s="1158"/>
      <c r="U2" s="1158"/>
      <c r="V2" s="1158"/>
      <c r="W2" s="1158"/>
      <c r="X2" s="1158"/>
      <c r="Y2" s="1158"/>
      <c r="Z2" s="1158"/>
      <c r="AA2" s="1158"/>
      <c r="AB2" s="1158"/>
      <c r="AC2" s="1158"/>
      <c r="AD2" s="1158"/>
      <c r="AE2" s="1158"/>
      <c r="AF2" s="1158"/>
    </row>
    <row r="3" spans="1:35" s="26" customFormat="1" ht="18">
      <c r="A3" s="1158" t="s">
        <v>1830</v>
      </c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E3" s="1158"/>
      <c r="AF3" s="1158"/>
    </row>
    <row r="4" spans="1:35" s="26" customFormat="1" ht="20.25">
      <c r="A4" s="27"/>
      <c r="B4" s="27"/>
      <c r="C4" s="27"/>
      <c r="D4" s="28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9" t="s">
        <v>2</v>
      </c>
    </row>
    <row r="5" spans="1:35" s="30" customFormat="1" ht="15" customHeight="1">
      <c r="A5" s="1159" t="s">
        <v>3</v>
      </c>
      <c r="B5" s="1169" t="s">
        <v>30</v>
      </c>
      <c r="C5" s="1159" t="s">
        <v>31</v>
      </c>
      <c r="D5" s="1170" t="s">
        <v>32</v>
      </c>
      <c r="E5" s="1146" t="s">
        <v>33</v>
      </c>
      <c r="F5" s="1170" t="s">
        <v>34</v>
      </c>
      <c r="G5" s="1166" t="s">
        <v>35</v>
      </c>
      <c r="H5" s="1166" t="s">
        <v>36</v>
      </c>
      <c r="I5" s="1166" t="s">
        <v>37</v>
      </c>
      <c r="J5" s="1167" t="s">
        <v>1266</v>
      </c>
      <c r="K5" s="1166" t="s">
        <v>38</v>
      </c>
      <c r="L5" s="1167" t="s">
        <v>7</v>
      </c>
      <c r="M5" s="1163" t="s">
        <v>39</v>
      </c>
      <c r="N5" s="1163"/>
      <c r="O5" s="1163"/>
      <c r="P5" s="1163"/>
      <c r="Q5" s="1163"/>
      <c r="R5" s="1149" t="s">
        <v>7</v>
      </c>
      <c r="S5" s="1149" t="s">
        <v>8</v>
      </c>
      <c r="T5" s="1150" t="s">
        <v>9</v>
      </c>
      <c r="U5" s="1150"/>
      <c r="V5" s="1150"/>
      <c r="W5" s="1151" t="s">
        <v>40</v>
      </c>
      <c r="X5" s="1150" t="s">
        <v>10</v>
      </c>
      <c r="Y5" s="1150"/>
      <c r="Z5" s="1150"/>
      <c r="AA5" s="1150"/>
      <c r="AB5" s="1151" t="s">
        <v>11</v>
      </c>
      <c r="AC5" s="1152" t="s">
        <v>41</v>
      </c>
      <c r="AD5" s="1146" t="s">
        <v>42</v>
      </c>
      <c r="AE5" s="1171" t="s">
        <v>382</v>
      </c>
      <c r="AF5" s="1164" t="s">
        <v>43</v>
      </c>
    </row>
    <row r="6" spans="1:35" s="31" customFormat="1" ht="67.5" customHeight="1">
      <c r="A6" s="1159"/>
      <c r="B6" s="1169"/>
      <c r="C6" s="1159"/>
      <c r="D6" s="1170"/>
      <c r="E6" s="1146"/>
      <c r="F6" s="1170"/>
      <c r="G6" s="1166"/>
      <c r="H6" s="1166"/>
      <c r="I6" s="1166"/>
      <c r="J6" s="1168"/>
      <c r="K6" s="1166"/>
      <c r="L6" s="1168"/>
      <c r="M6" s="1059" t="s">
        <v>13</v>
      </c>
      <c r="N6" s="1059" t="s">
        <v>14</v>
      </c>
      <c r="O6" s="1060" t="s">
        <v>15</v>
      </c>
      <c r="P6" s="1060" t="s">
        <v>16</v>
      </c>
      <c r="Q6" s="1060" t="s">
        <v>17</v>
      </c>
      <c r="R6" s="1149"/>
      <c r="S6" s="1149"/>
      <c r="T6" s="1061" t="s">
        <v>18</v>
      </c>
      <c r="U6" s="1062" t="s">
        <v>19</v>
      </c>
      <c r="V6" s="1062" t="s">
        <v>20</v>
      </c>
      <c r="W6" s="1151"/>
      <c r="X6" s="1062" t="s">
        <v>21</v>
      </c>
      <c r="Y6" s="1062" t="s">
        <v>585</v>
      </c>
      <c r="Z6" s="1062" t="s">
        <v>22</v>
      </c>
      <c r="AA6" s="1062" t="s">
        <v>44</v>
      </c>
      <c r="AB6" s="1151"/>
      <c r="AC6" s="1152"/>
      <c r="AD6" s="1146"/>
      <c r="AE6" s="1171"/>
      <c r="AF6" s="1164"/>
    </row>
    <row r="7" spans="1:35" s="47" customFormat="1" ht="35.25" customHeight="1">
      <c r="A7" s="32" t="s">
        <v>587</v>
      </c>
      <c r="B7" s="33"/>
      <c r="C7" s="34"/>
      <c r="D7" s="34"/>
      <c r="E7" s="35"/>
      <c r="F7" s="36"/>
      <c r="G7" s="37"/>
      <c r="H7" s="37"/>
      <c r="I7" s="38"/>
      <c r="J7" s="38"/>
      <c r="K7" s="37"/>
      <c r="L7" s="37"/>
      <c r="M7" s="39"/>
      <c r="N7" s="39"/>
      <c r="O7" s="39"/>
      <c r="P7" s="39"/>
      <c r="Q7" s="39"/>
      <c r="R7" s="40"/>
      <c r="S7" s="40"/>
      <c r="T7" s="41"/>
      <c r="U7" s="41"/>
      <c r="V7" s="42"/>
      <c r="W7" s="43"/>
      <c r="X7" s="41"/>
      <c r="Y7" s="44"/>
      <c r="Z7" s="41"/>
      <c r="AA7" s="41"/>
      <c r="AB7" s="45"/>
      <c r="AC7" s="45"/>
      <c r="AD7" s="46"/>
      <c r="AE7" s="181"/>
      <c r="AF7" s="46"/>
      <c r="AH7" s="182"/>
      <c r="AI7" s="183"/>
    </row>
    <row r="8" spans="1:35" s="61" customFormat="1" ht="34.5" customHeight="1">
      <c r="A8" s="108">
        <v>1</v>
      </c>
      <c r="B8" s="109" t="s">
        <v>1120</v>
      </c>
      <c r="C8" s="110" t="s">
        <v>1814</v>
      </c>
      <c r="D8" s="131" t="s">
        <v>1121</v>
      </c>
      <c r="E8" s="131" t="s">
        <v>1815</v>
      </c>
      <c r="F8" s="184">
        <v>44866</v>
      </c>
      <c r="G8" s="112">
        <f>VLOOKUP(B8,[1]Attendance!$B$6:$G$368,6,0)</f>
        <v>31</v>
      </c>
      <c r="H8" s="185">
        <f>VLOOKUP(B$8:B$322,[1]Attendance!$B$6:$L$368,11,0)</f>
        <v>0</v>
      </c>
      <c r="I8" s="112">
        <f>G8-H8</f>
        <v>31</v>
      </c>
      <c r="J8" s="112">
        <f ca="1">TODAY()-F8</f>
        <v>826</v>
      </c>
      <c r="K8" s="185">
        <f>R8/G8</f>
        <v>7790.322580645161</v>
      </c>
      <c r="L8" s="185">
        <v>241500</v>
      </c>
      <c r="M8" s="430">
        <v>132825</v>
      </c>
      <c r="N8" s="430">
        <v>84525</v>
      </c>
      <c r="O8" s="430">
        <v>12150</v>
      </c>
      <c r="P8" s="430">
        <v>12000</v>
      </c>
      <c r="Q8" s="431">
        <v>0</v>
      </c>
      <c r="R8" s="432">
        <f t="shared" ref="R8" si="0">SUM(M8:Q8)</f>
        <v>241500</v>
      </c>
      <c r="S8" s="432">
        <f>ROUND(I8*K8,)</f>
        <v>241500</v>
      </c>
      <c r="T8" s="433"/>
      <c r="U8" s="433"/>
      <c r="V8" s="434"/>
      <c r="W8" s="435">
        <f>ROUND(SUM(S8:V8),0)</f>
        <v>241500</v>
      </c>
      <c r="X8" s="408">
        <v>9914</v>
      </c>
      <c r="Y8" s="408"/>
      <c r="Z8" s="433"/>
      <c r="AA8" s="433"/>
      <c r="AB8" s="436">
        <f>SUM(X8:AA8)</f>
        <v>9914</v>
      </c>
      <c r="AC8" s="436">
        <f>W8-AB8</f>
        <v>231586</v>
      </c>
      <c r="AD8" s="437" t="s">
        <v>23</v>
      </c>
      <c r="AE8" s="438"/>
      <c r="AF8" s="111" t="s">
        <v>1816</v>
      </c>
      <c r="AH8" s="197"/>
      <c r="AI8" s="198"/>
    </row>
    <row r="9" spans="1:35" s="30" customFormat="1" ht="24.95" customHeight="1">
      <c r="A9" s="1063"/>
      <c r="B9" s="1064"/>
      <c r="C9" s="1065"/>
      <c r="D9" s="1066"/>
      <c r="E9" s="1067"/>
      <c r="F9" s="1068"/>
      <c r="G9" s="1069"/>
      <c r="H9" s="1069"/>
      <c r="I9" s="1070"/>
      <c r="J9" s="1070"/>
      <c r="K9" s="1070"/>
      <c r="L9" s="1070"/>
      <c r="M9" s="1037">
        <f t="shared" ref="M9:AB9" si="1">SUM(M8:M8)</f>
        <v>132825</v>
      </c>
      <c r="N9" s="1037">
        <f t="shared" si="1"/>
        <v>84525</v>
      </c>
      <c r="O9" s="1037">
        <f t="shared" si="1"/>
        <v>12150</v>
      </c>
      <c r="P9" s="1037">
        <f t="shared" si="1"/>
        <v>12000</v>
      </c>
      <c r="Q9" s="1037">
        <f t="shared" si="1"/>
        <v>0</v>
      </c>
      <c r="R9" s="1037">
        <f t="shared" si="1"/>
        <v>241500</v>
      </c>
      <c r="S9" s="1037">
        <f t="shared" si="1"/>
        <v>241500</v>
      </c>
      <c r="T9" s="1037">
        <f t="shared" si="1"/>
        <v>0</v>
      </c>
      <c r="U9" s="1037">
        <f t="shared" si="1"/>
        <v>0</v>
      </c>
      <c r="V9" s="1037">
        <f t="shared" si="1"/>
        <v>0</v>
      </c>
      <c r="W9" s="1037">
        <f t="shared" si="1"/>
        <v>241500</v>
      </c>
      <c r="X9" s="1037">
        <f t="shared" si="1"/>
        <v>9914</v>
      </c>
      <c r="Y9" s="1037">
        <f t="shared" si="1"/>
        <v>0</v>
      </c>
      <c r="Z9" s="1037">
        <f t="shared" si="1"/>
        <v>0</v>
      </c>
      <c r="AA9" s="1037">
        <f t="shared" si="1"/>
        <v>0</v>
      </c>
      <c r="AB9" s="1037">
        <f t="shared" si="1"/>
        <v>9914</v>
      </c>
      <c r="AC9" s="1037">
        <f>SUM(AC8:AC8)</f>
        <v>231586</v>
      </c>
      <c r="AD9" s="1038"/>
      <c r="AE9" s="1071"/>
      <c r="AF9" s="1039"/>
      <c r="AH9" s="197"/>
      <c r="AI9" s="200"/>
    </row>
    <row r="10" spans="1:35" s="47" customFormat="1" ht="16.5">
      <c r="A10" s="201"/>
      <c r="B10" s="202"/>
      <c r="C10" s="203"/>
      <c r="D10" s="204"/>
      <c r="E10" s="205"/>
      <c r="F10" s="206"/>
      <c r="G10" s="204"/>
      <c r="H10" s="207"/>
      <c r="I10" s="208"/>
      <c r="J10" s="208"/>
      <c r="K10" s="207"/>
      <c r="L10" s="207"/>
      <c r="M10" s="209"/>
      <c r="N10" s="209"/>
      <c r="O10" s="209"/>
      <c r="P10" s="209"/>
      <c r="Q10" s="210"/>
      <c r="R10" s="138"/>
      <c r="S10" s="138"/>
      <c r="T10" s="211"/>
      <c r="U10" s="211"/>
      <c r="V10" s="212"/>
      <c r="W10" s="213"/>
      <c r="X10" s="209"/>
      <c r="Y10" s="214"/>
      <c r="Z10" s="211"/>
      <c r="AA10" s="211"/>
      <c r="AB10" s="182"/>
      <c r="AC10" s="182"/>
      <c r="AD10" s="215"/>
      <c r="AE10" s="216"/>
      <c r="AF10" s="205"/>
      <c r="AH10" s="182"/>
      <c r="AI10" s="183"/>
    </row>
    <row r="11" spans="1:35" s="142" customFormat="1" ht="24.95" customHeight="1">
      <c r="A11" s="1165" t="s">
        <v>390</v>
      </c>
      <c r="B11" s="1165"/>
      <c r="C11" s="1165"/>
      <c r="D11" s="1165"/>
      <c r="E11" s="1165"/>
      <c r="F11" s="1165"/>
      <c r="G11" s="1165"/>
      <c r="H11" s="1165"/>
      <c r="I11" s="1165"/>
      <c r="J11" s="519"/>
      <c r="K11" s="230"/>
      <c r="L11" s="230"/>
      <c r="M11" s="231">
        <f>M8</f>
        <v>132825</v>
      </c>
      <c r="N11" s="231">
        <f t="shared" ref="N11:AC11" si="2">N8</f>
        <v>84525</v>
      </c>
      <c r="O11" s="231">
        <f t="shared" si="2"/>
        <v>12150</v>
      </c>
      <c r="P11" s="231">
        <f t="shared" si="2"/>
        <v>12000</v>
      </c>
      <c r="Q11" s="231">
        <f t="shared" si="2"/>
        <v>0</v>
      </c>
      <c r="R11" s="231">
        <f t="shared" si="2"/>
        <v>241500</v>
      </c>
      <c r="S11" s="231">
        <f t="shared" si="2"/>
        <v>241500</v>
      </c>
      <c r="T11" s="231">
        <f t="shared" si="2"/>
        <v>0</v>
      </c>
      <c r="U11" s="231">
        <f t="shared" si="2"/>
        <v>0</v>
      </c>
      <c r="V11" s="231">
        <f t="shared" si="2"/>
        <v>0</v>
      </c>
      <c r="W11" s="231">
        <f t="shared" si="2"/>
        <v>241500</v>
      </c>
      <c r="X11" s="231">
        <f t="shared" si="2"/>
        <v>9914</v>
      </c>
      <c r="Y11" s="231">
        <f t="shared" si="2"/>
        <v>0</v>
      </c>
      <c r="Z11" s="231">
        <f t="shared" si="2"/>
        <v>0</v>
      </c>
      <c r="AA11" s="231">
        <f t="shared" si="2"/>
        <v>0</v>
      </c>
      <c r="AB11" s="231">
        <f t="shared" si="2"/>
        <v>9914</v>
      </c>
      <c r="AC11" s="231">
        <f t="shared" si="2"/>
        <v>231586</v>
      </c>
      <c r="AD11" s="232"/>
      <c r="AE11" s="233"/>
      <c r="AF11" s="234"/>
      <c r="AH11" s="182"/>
      <c r="AI11" s="223"/>
    </row>
    <row r="12" spans="1:35" s="142" customFormat="1" ht="24.95" customHeight="1">
      <c r="A12" s="132"/>
      <c r="B12" s="133"/>
      <c r="C12" s="134"/>
      <c r="D12" s="135"/>
      <c r="E12" s="136"/>
      <c r="F12" s="137"/>
      <c r="G12" s="138"/>
      <c r="H12" s="138"/>
      <c r="I12" s="139"/>
      <c r="J12" s="139"/>
      <c r="K12" s="139"/>
      <c r="L12" s="139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1"/>
      <c r="AE12" s="235"/>
      <c r="AF12" s="136"/>
      <c r="AH12" s="182"/>
      <c r="AI12" s="223"/>
    </row>
    <row r="13" spans="1:35" s="130" customFormat="1" ht="20.100000000000001" customHeight="1">
      <c r="A13" s="121"/>
      <c r="B13" s="121"/>
      <c r="C13" s="122"/>
      <c r="D13" s="143"/>
      <c r="E13" s="121"/>
      <c r="F13" s="122"/>
      <c r="G13" s="124"/>
      <c r="H13" s="124"/>
      <c r="I13" s="123"/>
      <c r="J13" s="123"/>
      <c r="K13" s="236"/>
      <c r="L13" s="236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X13" s="127" t="s">
        <v>29</v>
      </c>
      <c r="Z13" s="126"/>
      <c r="AA13" s="125"/>
      <c r="AC13" s="127" t="s">
        <v>23</v>
      </c>
      <c r="AD13" s="128" t="s">
        <v>24</v>
      </c>
      <c r="AE13" s="237"/>
      <c r="AF13" s="15">
        <f>AC11-AF14</f>
        <v>128086</v>
      </c>
      <c r="AH13" s="182"/>
    </row>
    <row r="14" spans="1:35" s="130" customFormat="1" ht="20.100000000000001" customHeight="1">
      <c r="A14" s="121"/>
      <c r="B14" s="121"/>
      <c r="C14" s="122"/>
      <c r="D14" s="143"/>
      <c r="E14" s="121"/>
      <c r="F14" s="122"/>
      <c r="G14" s="124"/>
      <c r="H14" s="124"/>
      <c r="I14" s="123"/>
      <c r="J14" s="123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4"/>
      <c r="X14" s="125"/>
      <c r="Z14" s="126"/>
      <c r="AA14" s="125"/>
      <c r="AC14" s="127"/>
      <c r="AD14" s="128"/>
      <c r="AE14" s="237"/>
      <c r="AF14" s="15">
        <v>103500</v>
      </c>
      <c r="AH14" s="182"/>
    </row>
    <row r="15" spans="1:35" s="130" customFormat="1" ht="20.100000000000001" customHeight="1" thickBot="1">
      <c r="A15" s="121"/>
      <c r="B15" s="121"/>
      <c r="C15" s="122"/>
      <c r="D15" s="143"/>
      <c r="E15" s="121"/>
      <c r="F15" s="122"/>
      <c r="G15" s="124"/>
      <c r="H15" s="124"/>
      <c r="I15" s="123"/>
      <c r="J15" s="123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4"/>
      <c r="X15" s="125"/>
      <c r="Z15" s="126"/>
      <c r="AA15" s="125"/>
      <c r="AB15" s="125"/>
      <c r="AC15" s="127"/>
      <c r="AD15" s="128"/>
      <c r="AE15" s="237"/>
      <c r="AF15" s="144">
        <f>SUM(AF13:AF14)</f>
        <v>231586</v>
      </c>
      <c r="AH15" s="182"/>
    </row>
    <row r="16" spans="1:35" s="130" customFormat="1" ht="20.100000000000001" customHeight="1" thickTop="1">
      <c r="A16" s="121"/>
      <c r="B16" s="121"/>
      <c r="C16" s="122"/>
      <c r="D16" s="143"/>
      <c r="E16" s="121"/>
      <c r="F16" s="122"/>
      <c r="G16" s="124"/>
      <c r="H16" s="124"/>
      <c r="I16" s="123"/>
      <c r="J16" s="123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4"/>
      <c r="X16" s="127"/>
      <c r="Z16" s="126"/>
      <c r="AA16" s="125"/>
      <c r="AB16" s="125"/>
      <c r="AC16" s="127"/>
      <c r="AD16" s="128"/>
      <c r="AE16" s="237"/>
      <c r="AF16" s="129"/>
      <c r="AH16" s="182"/>
    </row>
    <row r="17" spans="1:34" s="130" customFormat="1" ht="20.100000000000001" customHeight="1">
      <c r="A17" s="121"/>
      <c r="B17" s="121"/>
      <c r="C17" s="122"/>
      <c r="D17" s="143"/>
      <c r="E17" s="121"/>
      <c r="F17" s="122"/>
      <c r="G17" s="124"/>
      <c r="H17" s="124"/>
      <c r="I17" s="123"/>
      <c r="J17" s="123"/>
      <c r="K17" s="124"/>
      <c r="L17" s="124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4"/>
      <c r="X17" s="127"/>
      <c r="Z17" s="126"/>
      <c r="AA17" s="125"/>
      <c r="AB17" s="125"/>
      <c r="AC17" s="127"/>
      <c r="AD17" s="128"/>
      <c r="AE17" s="237"/>
      <c r="AF17" s="129"/>
      <c r="AH17" s="182"/>
    </row>
    <row r="18" spans="1:34" s="130" customFormat="1" ht="20.100000000000001" customHeight="1">
      <c r="A18" s="121"/>
      <c r="B18" s="121"/>
      <c r="C18" s="122"/>
      <c r="D18" s="143"/>
      <c r="E18" s="121"/>
      <c r="F18" s="122"/>
      <c r="G18" s="124"/>
      <c r="H18" s="124"/>
      <c r="I18" s="123"/>
      <c r="J18" s="123"/>
      <c r="K18" s="124"/>
      <c r="L18" s="124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4"/>
      <c r="X18" s="127"/>
      <c r="Z18" s="126"/>
      <c r="AA18" s="125"/>
      <c r="AB18" s="125"/>
      <c r="AC18" s="127"/>
      <c r="AD18" s="128"/>
      <c r="AE18" s="237"/>
      <c r="AF18" s="129"/>
      <c r="AH18" s="182"/>
    </row>
    <row r="19" spans="1:34" s="130" customFormat="1" ht="20.100000000000001" customHeight="1">
      <c r="A19" s="121"/>
      <c r="B19" s="121"/>
      <c r="C19" s="122"/>
      <c r="D19" s="143"/>
      <c r="E19" s="121"/>
      <c r="F19" s="122"/>
      <c r="G19" s="124"/>
      <c r="H19" s="124"/>
      <c r="I19" s="123"/>
      <c r="J19" s="123"/>
      <c r="K19" s="124"/>
      <c r="L19" s="124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4"/>
      <c r="X19" s="127"/>
      <c r="Z19" s="126"/>
      <c r="AA19" s="125"/>
      <c r="AB19" s="125"/>
      <c r="AC19" s="127"/>
      <c r="AD19" s="128"/>
      <c r="AE19" s="237"/>
      <c r="AF19" s="129"/>
      <c r="AH19" s="182"/>
    </row>
    <row r="20" spans="1:34" s="130" customFormat="1" ht="20.100000000000001" customHeight="1">
      <c r="A20" s="121"/>
      <c r="B20" s="121"/>
      <c r="C20" s="122"/>
      <c r="D20" s="143"/>
      <c r="E20" s="121"/>
      <c r="F20" s="122"/>
      <c r="G20" s="124"/>
      <c r="H20" s="124"/>
      <c r="I20" s="123"/>
      <c r="J20" s="123"/>
      <c r="K20" s="124"/>
      <c r="L20" s="124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4"/>
      <c r="X20" s="127"/>
      <c r="Z20" s="126"/>
      <c r="AA20" s="125"/>
      <c r="AB20" s="125"/>
      <c r="AC20" s="127"/>
      <c r="AD20" s="128"/>
      <c r="AE20" s="237"/>
      <c r="AF20" s="129"/>
      <c r="AH20" s="182"/>
    </row>
    <row r="21" spans="1:34" s="130" customFormat="1" ht="20.100000000000001" customHeight="1">
      <c r="A21" s="121"/>
      <c r="B21" s="121"/>
      <c r="C21" s="122"/>
      <c r="D21" s="143"/>
      <c r="E21" s="121"/>
      <c r="F21" s="122"/>
      <c r="G21" s="124"/>
      <c r="H21" s="124"/>
      <c r="I21" s="123"/>
      <c r="J21" s="123"/>
      <c r="K21" s="124"/>
      <c r="L21" s="124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4"/>
      <c r="X21" s="14"/>
      <c r="Y21" s="125"/>
      <c r="Z21" s="126"/>
      <c r="AA21" s="125"/>
      <c r="AB21" s="238"/>
      <c r="AC21" s="240"/>
      <c r="AD21" s="128"/>
      <c r="AE21" s="237"/>
      <c r="AF21" s="241"/>
      <c r="AH21" s="182"/>
    </row>
    <row r="22" spans="1:34" s="130" customFormat="1" ht="20.100000000000001" customHeight="1">
      <c r="A22" s="121"/>
      <c r="B22" s="121"/>
      <c r="C22" s="122"/>
      <c r="D22" s="143"/>
      <c r="E22" s="121"/>
      <c r="F22" s="122"/>
      <c r="G22" s="124"/>
      <c r="H22" s="124"/>
      <c r="I22" s="123"/>
      <c r="J22" s="123"/>
      <c r="K22" s="124"/>
      <c r="L22" s="124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4"/>
      <c r="X22" s="14"/>
      <c r="Y22" s="125"/>
      <c r="Z22" s="126"/>
      <c r="AA22" s="125"/>
      <c r="AB22" s="238"/>
      <c r="AC22" s="240"/>
      <c r="AD22" s="128"/>
      <c r="AE22" s="237"/>
      <c r="AF22" s="241"/>
      <c r="AH22" s="182"/>
    </row>
    <row r="23" spans="1:34" s="130" customFormat="1" ht="20.100000000000001" customHeight="1">
      <c r="A23" s="121"/>
      <c r="B23" s="121"/>
      <c r="C23" s="122"/>
      <c r="D23" s="143"/>
      <c r="E23" s="121"/>
      <c r="F23" s="122"/>
      <c r="G23" s="124"/>
      <c r="H23" s="124"/>
      <c r="I23" s="123"/>
      <c r="J23" s="123"/>
      <c r="K23" s="124"/>
      <c r="L23" s="124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4"/>
      <c r="X23" s="14"/>
      <c r="Y23" s="125"/>
      <c r="Z23" s="126"/>
      <c r="AA23" s="125"/>
      <c r="AB23" s="238"/>
      <c r="AC23" s="240"/>
      <c r="AD23" s="128"/>
      <c r="AE23" s="237"/>
      <c r="AF23" s="241"/>
      <c r="AH23" s="182"/>
    </row>
    <row r="24" spans="1:34" s="130" customFormat="1" ht="19.5" customHeight="1">
      <c r="A24" s="121"/>
      <c r="B24" s="121"/>
      <c r="C24" s="122"/>
      <c r="D24" s="143"/>
      <c r="E24" s="121"/>
      <c r="F24" s="122"/>
      <c r="G24" s="124"/>
      <c r="H24" s="124"/>
      <c r="I24" s="123"/>
      <c r="J24" s="123"/>
      <c r="K24" s="124"/>
      <c r="L24" s="124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4"/>
      <c r="X24" s="14"/>
      <c r="Y24" s="127"/>
      <c r="Z24" s="127"/>
      <c r="AA24" s="239"/>
      <c r="AB24" s="238"/>
      <c r="AC24" s="240"/>
      <c r="AD24" s="128"/>
      <c r="AE24" s="237"/>
      <c r="AF24" s="241"/>
      <c r="AH24" s="182"/>
    </row>
    <row r="25" spans="1:34" s="130" customFormat="1" ht="19.5" customHeight="1">
      <c r="A25" s="121"/>
      <c r="B25" s="121"/>
      <c r="C25" s="122"/>
      <c r="D25" s="143"/>
      <c r="E25" s="121"/>
      <c r="F25" s="122"/>
      <c r="G25" s="124"/>
      <c r="H25" s="124"/>
      <c r="I25" s="123"/>
      <c r="J25" s="123"/>
      <c r="K25" s="124"/>
      <c r="L25" s="124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4"/>
      <c r="X25" s="14"/>
      <c r="Y25" s="14"/>
      <c r="Z25" s="14"/>
      <c r="AA25" s="13"/>
      <c r="AB25" s="12"/>
      <c r="AC25" s="12"/>
      <c r="AE25" s="242"/>
      <c r="AF25" s="129"/>
      <c r="AH25" s="182"/>
    </row>
    <row r="26" spans="1:34" s="130" customFormat="1" ht="16.5">
      <c r="A26" s="121"/>
      <c r="B26" s="121"/>
      <c r="C26" s="122"/>
      <c r="D26" s="143"/>
      <c r="E26" s="121"/>
      <c r="F26" s="122"/>
      <c r="G26" s="124"/>
      <c r="H26" s="124"/>
      <c r="I26" s="123"/>
      <c r="J26" s="123"/>
      <c r="K26" s="124"/>
      <c r="L26" s="124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45"/>
      <c r="AE26" s="242"/>
      <c r="AF26" s="145"/>
      <c r="AH26" s="182"/>
    </row>
    <row r="27" spans="1:34" s="130" customFormat="1" ht="19.5" customHeight="1">
      <c r="A27" s="121"/>
      <c r="B27" s="121"/>
      <c r="C27" s="122"/>
      <c r="D27" s="143"/>
      <c r="E27" s="121"/>
      <c r="F27" s="122"/>
      <c r="G27" s="124"/>
      <c r="H27" s="124"/>
      <c r="I27" s="123"/>
      <c r="J27" s="123"/>
      <c r="K27" s="124"/>
      <c r="L27" s="124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45"/>
      <c r="AE27" s="242"/>
      <c r="AF27" s="145"/>
      <c r="AH27" s="182"/>
    </row>
    <row r="28" spans="1:34" s="130" customFormat="1" ht="19.5" customHeight="1">
      <c r="A28" s="121"/>
      <c r="B28" s="121"/>
      <c r="C28" s="122"/>
      <c r="D28" s="143"/>
      <c r="E28" s="121"/>
      <c r="F28" s="122"/>
      <c r="G28" s="124"/>
      <c r="H28" s="124"/>
      <c r="I28" s="123"/>
      <c r="J28" s="123"/>
      <c r="K28" s="124"/>
      <c r="L28" s="124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45"/>
      <c r="AE28" s="242"/>
      <c r="AF28" s="145"/>
      <c r="AH28" s="182"/>
    </row>
    <row r="29" spans="1:34" s="130" customFormat="1" ht="19.5" customHeight="1">
      <c r="A29" s="121"/>
      <c r="B29" s="121"/>
      <c r="C29" s="122"/>
      <c r="D29" s="143"/>
      <c r="E29" s="121"/>
      <c r="F29" s="122"/>
      <c r="G29" s="124"/>
      <c r="H29" s="124"/>
      <c r="I29" s="123"/>
      <c r="J29" s="123"/>
      <c r="K29" s="124"/>
      <c r="L29" s="124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Y29" s="146"/>
      <c r="Z29" s="123"/>
      <c r="AA29" s="123"/>
      <c r="AB29" s="123"/>
      <c r="AC29" s="123"/>
      <c r="AD29" s="145"/>
      <c r="AE29" s="242"/>
      <c r="AF29" s="123"/>
      <c r="AH29" s="182"/>
    </row>
    <row r="30" spans="1:34" s="17" customFormat="1" ht="16.5">
      <c r="B30" s="18"/>
      <c r="C30" s="18"/>
      <c r="D30" s="147"/>
      <c r="E30" s="148"/>
      <c r="F30" s="18"/>
      <c r="G30" s="18"/>
      <c r="H30" s="18"/>
      <c r="I30" s="18"/>
      <c r="J30" s="18"/>
      <c r="K30" s="18"/>
      <c r="L30" s="18"/>
      <c r="M30" s="18"/>
      <c r="N30" s="18"/>
      <c r="O30" s="18"/>
      <c r="R30" s="18"/>
      <c r="S30" s="18"/>
      <c r="T30" s="18"/>
      <c r="U30" s="18"/>
      <c r="V30" s="18"/>
      <c r="W30" s="18"/>
      <c r="AA30" s="18"/>
      <c r="AB30" s="18"/>
      <c r="AC30" s="18"/>
      <c r="AD30" s="18"/>
      <c r="AE30" s="18"/>
      <c r="AF30" s="18"/>
      <c r="AH30" s="182"/>
    </row>
    <row r="31" spans="1:34" s="130" customFormat="1" ht="19.5" customHeight="1">
      <c r="A31" s="121"/>
      <c r="B31" s="121"/>
      <c r="C31" s="122"/>
      <c r="D31" s="143"/>
      <c r="E31" s="121"/>
      <c r="F31" s="122"/>
      <c r="G31" s="124"/>
      <c r="H31" s="124"/>
      <c r="I31" s="123"/>
      <c r="J31" s="123"/>
      <c r="K31" s="124"/>
      <c r="L31" s="124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45"/>
      <c r="AE31" s="242"/>
      <c r="AF31" s="145"/>
      <c r="AH31" s="182"/>
    </row>
    <row r="32" spans="1:34" s="155" customFormat="1" ht="19.5" customHeight="1">
      <c r="A32" s="149"/>
      <c r="B32" s="149"/>
      <c r="C32" s="150"/>
      <c r="D32" s="151"/>
      <c r="E32" s="149"/>
      <c r="F32" s="150"/>
      <c r="G32" s="152"/>
      <c r="H32" s="152"/>
      <c r="I32" s="153"/>
      <c r="J32" s="153"/>
      <c r="K32" s="152"/>
      <c r="L32" s="152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23"/>
      <c r="Y32" s="153"/>
      <c r="Z32" s="153"/>
      <c r="AA32" s="153"/>
      <c r="AB32" s="153"/>
      <c r="AC32" s="153"/>
      <c r="AD32" s="154"/>
      <c r="AE32" s="243"/>
      <c r="AF32" s="154"/>
      <c r="AH32" s="197"/>
    </row>
    <row r="33" spans="1:34" ht="21" customHeight="1">
      <c r="W33" s="164"/>
      <c r="AH33" s="197"/>
    </row>
    <row r="34" spans="1:34" s="167" customFormat="1" ht="18">
      <c r="A34" s="166"/>
      <c r="B34" s="166"/>
      <c r="D34" s="168"/>
      <c r="E34" s="166"/>
      <c r="G34" s="169"/>
      <c r="H34" s="170"/>
      <c r="K34" s="170"/>
      <c r="L34" s="170"/>
      <c r="M34" s="171"/>
      <c r="N34" s="171"/>
      <c r="O34" s="171"/>
      <c r="P34" s="171"/>
      <c r="Q34" s="171"/>
      <c r="R34" s="172"/>
      <c r="S34" s="173"/>
      <c r="U34" s="166"/>
      <c r="W34" s="173"/>
      <c r="X34" s="174"/>
      <c r="Y34" s="175"/>
      <c r="Z34" s="176"/>
      <c r="AA34" s="166"/>
      <c r="AB34" s="166"/>
      <c r="AC34" s="166"/>
      <c r="AD34" s="166"/>
      <c r="AF34" s="166"/>
      <c r="AH34" s="197"/>
    </row>
    <row r="35" spans="1:34" s="167" customFormat="1" ht="18">
      <c r="A35" s="166"/>
      <c r="B35" s="166"/>
      <c r="D35" s="168"/>
      <c r="E35" s="166"/>
      <c r="H35" s="170"/>
      <c r="K35" s="169"/>
      <c r="L35" s="169"/>
      <c r="M35" s="171"/>
      <c r="N35" s="172"/>
      <c r="P35" s="171"/>
      <c r="S35" s="173"/>
      <c r="U35" s="166"/>
      <c r="W35" s="173"/>
      <c r="X35" s="174"/>
      <c r="AA35" s="166"/>
      <c r="AB35" s="166"/>
      <c r="AC35" s="166"/>
      <c r="AD35" s="166"/>
      <c r="AF35" s="166"/>
      <c r="AH35" s="197"/>
    </row>
    <row r="36" spans="1:34" s="167" customFormat="1" ht="18">
      <c r="D36" s="168"/>
      <c r="E36" s="166"/>
      <c r="H36" s="170"/>
      <c r="K36" s="170"/>
      <c r="L36" s="170"/>
      <c r="S36" s="166"/>
      <c r="T36" s="177"/>
      <c r="U36" s="178"/>
      <c r="W36" s="173"/>
      <c r="X36" s="174"/>
      <c r="AD36" s="166"/>
      <c r="AF36" s="166"/>
      <c r="AH36" s="197"/>
    </row>
    <row r="37" spans="1:34" s="167" customFormat="1" ht="18">
      <c r="D37" s="168"/>
      <c r="E37" s="166"/>
      <c r="F37" s="179"/>
      <c r="H37" s="170"/>
      <c r="K37" s="170"/>
      <c r="L37" s="170"/>
      <c r="S37" s="166"/>
      <c r="T37" s="177"/>
      <c r="U37" s="178"/>
      <c r="W37" s="173"/>
      <c r="X37" s="174"/>
      <c r="AD37" s="166"/>
      <c r="AF37" s="166"/>
    </row>
    <row r="38" spans="1:34" s="167" customFormat="1" ht="18">
      <c r="D38" s="168"/>
      <c r="E38" s="166"/>
      <c r="H38" s="170"/>
      <c r="K38" s="170"/>
      <c r="L38" s="170"/>
      <c r="S38" s="166"/>
      <c r="W38" s="173"/>
      <c r="X38" s="174"/>
      <c r="AD38" s="166"/>
      <c r="AF38" s="166"/>
    </row>
    <row r="39" spans="1:34" ht="18">
      <c r="A39" s="167"/>
      <c r="B39" s="167"/>
      <c r="C39" s="167"/>
      <c r="F39" s="167"/>
      <c r="K39" s="170"/>
      <c r="L39" s="170"/>
      <c r="M39" s="167"/>
      <c r="N39" s="167"/>
      <c r="O39" s="167"/>
      <c r="P39" s="167"/>
      <c r="S39" s="166"/>
      <c r="AB39" s="167"/>
      <c r="AC39" s="167"/>
      <c r="AD39" s="166"/>
      <c r="AE39" s="167"/>
    </row>
    <row r="56" spans="2:2" ht="20.25">
      <c r="B56" s="180"/>
    </row>
  </sheetData>
  <mergeCells count="27">
    <mergeCell ref="A1:AF1"/>
    <mergeCell ref="A2:AF2"/>
    <mergeCell ref="A3:AF3"/>
    <mergeCell ref="A5:A6"/>
    <mergeCell ref="B5:B6"/>
    <mergeCell ref="C5:C6"/>
    <mergeCell ref="D5:D6"/>
    <mergeCell ref="E5:E6"/>
    <mergeCell ref="F5:F6"/>
    <mergeCell ref="G5:G6"/>
    <mergeCell ref="AC5:AC6"/>
    <mergeCell ref="AD5:AD6"/>
    <mergeCell ref="AE5:AE6"/>
    <mergeCell ref="AF5:AF6"/>
    <mergeCell ref="X5:AA5"/>
    <mergeCell ref="AB5:AB6"/>
    <mergeCell ref="A11:I11"/>
    <mergeCell ref="R5:R6"/>
    <mergeCell ref="S5:S6"/>
    <mergeCell ref="T5:V5"/>
    <mergeCell ref="W5:W6"/>
    <mergeCell ref="M5:Q5"/>
    <mergeCell ref="H5:H6"/>
    <mergeCell ref="I5:I6"/>
    <mergeCell ref="J5:J6"/>
    <mergeCell ref="K5:K6"/>
    <mergeCell ref="L5:L6"/>
  </mergeCells>
  <printOptions horizontalCentered="1"/>
  <pageMargins left="0.19685039370078741" right="0" top="0.55118110236220474" bottom="0.62992125984251968" header="0.31496062992125984" footer="0.6692913385826772"/>
  <pageSetup paperSize="9" scale="51" fitToHeight="0" orientation="landscape" verticalDpi="1200" r:id="rId1"/>
  <headerFooter>
    <oddFooter xml:space="preserve">&amp;C                                                                                             &amp;R&amp;"-,Bold"&amp;14Page &amp;P of &amp;N 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4">
    <tabColor theme="7" tint="0.39997558519241921"/>
    <pageSetUpPr fitToPage="1"/>
  </sheetPr>
  <dimension ref="A1:AI56"/>
  <sheetViews>
    <sheetView view="pageBreakPreview" zoomScale="85" zoomScaleNormal="100" zoomScaleSheetLayoutView="85" zoomScalePageLayoutView="80" workbookViewId="0">
      <selection activeCell="AG4" sqref="AG4"/>
    </sheetView>
  </sheetViews>
  <sheetFormatPr defaultColWidth="9.140625" defaultRowHeight="12.75"/>
  <cols>
    <col min="1" max="1" width="4.140625" style="156" customWidth="1"/>
    <col min="2" max="2" width="13.42578125" style="156" customWidth="1"/>
    <col min="3" max="3" width="20.140625" style="157" customWidth="1"/>
    <col min="4" max="4" width="10.7109375" style="158" customWidth="1"/>
    <col min="5" max="5" width="8.5703125" style="156" customWidth="1"/>
    <col min="6" max="6" width="11" style="157" customWidth="1"/>
    <col min="7" max="7" width="6" style="159" customWidth="1"/>
    <col min="8" max="8" width="9.28515625" style="160" customWidth="1"/>
    <col min="9" max="9" width="8.42578125" style="157" customWidth="1"/>
    <col min="10" max="10" width="6.140625" style="157" customWidth="1"/>
    <col min="11" max="12" width="8.85546875" style="160" customWidth="1"/>
    <col min="13" max="13" width="10" style="161" bestFit="1" customWidth="1"/>
    <col min="14" max="14" width="10" style="161" customWidth="1"/>
    <col min="15" max="16" width="8.5703125" style="161" bestFit="1" customWidth="1"/>
    <col min="17" max="17" width="9.5703125" style="161" hidden="1" customWidth="1"/>
    <col min="18" max="18" width="9.7109375" style="162" customWidth="1"/>
    <col min="19" max="19" width="9.7109375" style="163" customWidth="1"/>
    <col min="20" max="20" width="7.5703125" style="157" bestFit="1" customWidth="1"/>
    <col min="21" max="21" width="7.7109375" style="156" customWidth="1"/>
    <col min="22" max="22" width="8" style="157" customWidth="1"/>
    <col min="23" max="23" width="13.42578125" style="163" customWidth="1"/>
    <col min="24" max="24" width="7.7109375" style="165" customWidth="1"/>
    <col min="25" max="25" width="7.7109375" style="157" customWidth="1"/>
    <col min="26" max="26" width="6.7109375" style="157" customWidth="1"/>
    <col min="27" max="27" width="6.5703125" style="156" customWidth="1"/>
    <col min="28" max="28" width="7.5703125" style="156" customWidth="1"/>
    <col min="29" max="29" width="9.42578125" style="156" customWidth="1"/>
    <col min="30" max="30" width="7.28515625" style="156" customWidth="1"/>
    <col min="31" max="31" width="4.42578125" style="157" hidden="1" customWidth="1"/>
    <col min="32" max="32" width="19.5703125" style="156" customWidth="1"/>
    <col min="33" max="33" width="9.140625" style="157"/>
    <col min="34" max="34" width="12.5703125" style="157" bestFit="1" customWidth="1"/>
    <col min="35" max="16384" width="9.140625" style="157"/>
  </cols>
  <sheetData>
    <row r="1" spans="1:35" s="26" customFormat="1" ht="25.5">
      <c r="A1" s="1157" t="str">
        <f>[2]Summary!A1</f>
        <v>SQ Trading &amp; Engineering - FMD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  <c r="O1" s="1157"/>
      <c r="P1" s="1157"/>
      <c r="Q1" s="1157"/>
      <c r="R1" s="1157"/>
      <c r="S1" s="1157"/>
      <c r="T1" s="1157"/>
      <c r="U1" s="1157"/>
      <c r="V1" s="1157"/>
      <c r="W1" s="1157"/>
      <c r="X1" s="1157"/>
      <c r="Y1" s="1157"/>
      <c r="Z1" s="1157"/>
      <c r="AA1" s="1157"/>
      <c r="AB1" s="1157"/>
      <c r="AC1" s="1157"/>
      <c r="AD1" s="1157"/>
      <c r="AE1" s="1157"/>
      <c r="AF1" s="1157"/>
    </row>
    <row r="2" spans="1:35" s="26" customFormat="1" ht="18">
      <c r="A2" s="1158" t="s">
        <v>1</v>
      </c>
      <c r="B2" s="1158"/>
      <c r="C2" s="1158"/>
      <c r="D2" s="1158"/>
      <c r="E2" s="1158"/>
      <c r="F2" s="1158"/>
      <c r="G2" s="1158"/>
      <c r="H2" s="1158"/>
      <c r="I2" s="1158"/>
      <c r="J2" s="1158"/>
      <c r="K2" s="1158"/>
      <c r="L2" s="1158"/>
      <c r="M2" s="1158"/>
      <c r="N2" s="1158"/>
      <c r="O2" s="1158"/>
      <c r="P2" s="1158"/>
      <c r="Q2" s="1158"/>
      <c r="R2" s="1158"/>
      <c r="S2" s="1158"/>
      <c r="T2" s="1158"/>
      <c r="U2" s="1158"/>
      <c r="V2" s="1158"/>
      <c r="W2" s="1158"/>
      <c r="X2" s="1158"/>
      <c r="Y2" s="1158"/>
      <c r="Z2" s="1158"/>
      <c r="AA2" s="1158"/>
      <c r="AB2" s="1158"/>
      <c r="AC2" s="1158"/>
      <c r="AD2" s="1158"/>
      <c r="AE2" s="1158"/>
      <c r="AF2" s="1158"/>
    </row>
    <row r="3" spans="1:35" s="26" customFormat="1" ht="18">
      <c r="A3" s="1158" t="s">
        <v>1830</v>
      </c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E3" s="1158"/>
      <c r="AF3" s="1158"/>
    </row>
    <row r="4" spans="1:35" s="26" customFormat="1" ht="20.25">
      <c r="A4" s="27"/>
      <c r="B4" s="27"/>
      <c r="C4" s="27"/>
      <c r="D4" s="28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9" t="s">
        <v>2</v>
      </c>
    </row>
    <row r="5" spans="1:35" s="30" customFormat="1" ht="15" customHeight="1">
      <c r="A5" s="1159" t="s">
        <v>3</v>
      </c>
      <c r="B5" s="1169" t="s">
        <v>30</v>
      </c>
      <c r="C5" s="1159" t="s">
        <v>31</v>
      </c>
      <c r="D5" s="1170" t="s">
        <v>32</v>
      </c>
      <c r="E5" s="1146" t="s">
        <v>33</v>
      </c>
      <c r="F5" s="1170" t="s">
        <v>34</v>
      </c>
      <c r="G5" s="1166" t="s">
        <v>35</v>
      </c>
      <c r="H5" s="1166" t="s">
        <v>36</v>
      </c>
      <c r="I5" s="1166" t="s">
        <v>37</v>
      </c>
      <c r="J5" s="1167" t="s">
        <v>1266</v>
      </c>
      <c r="K5" s="1166" t="s">
        <v>38</v>
      </c>
      <c r="L5" s="1167" t="s">
        <v>7</v>
      </c>
      <c r="M5" s="1163" t="s">
        <v>39</v>
      </c>
      <c r="N5" s="1163"/>
      <c r="O5" s="1163"/>
      <c r="P5" s="1163"/>
      <c r="Q5" s="1163"/>
      <c r="R5" s="1149" t="s">
        <v>7</v>
      </c>
      <c r="S5" s="1149" t="s">
        <v>8</v>
      </c>
      <c r="T5" s="1150" t="s">
        <v>9</v>
      </c>
      <c r="U5" s="1150"/>
      <c r="V5" s="1150"/>
      <c r="W5" s="1151" t="s">
        <v>40</v>
      </c>
      <c r="X5" s="1150" t="s">
        <v>10</v>
      </c>
      <c r="Y5" s="1150"/>
      <c r="Z5" s="1150"/>
      <c r="AA5" s="1150"/>
      <c r="AB5" s="1151" t="s">
        <v>11</v>
      </c>
      <c r="AC5" s="1152" t="s">
        <v>41</v>
      </c>
      <c r="AD5" s="1146" t="s">
        <v>42</v>
      </c>
      <c r="AE5" s="1171" t="s">
        <v>382</v>
      </c>
      <c r="AF5" s="1164" t="s">
        <v>43</v>
      </c>
    </row>
    <row r="6" spans="1:35" s="31" customFormat="1" ht="67.5" customHeight="1">
      <c r="A6" s="1159"/>
      <c r="B6" s="1169"/>
      <c r="C6" s="1159"/>
      <c r="D6" s="1170"/>
      <c r="E6" s="1146"/>
      <c r="F6" s="1170"/>
      <c r="G6" s="1166"/>
      <c r="H6" s="1166"/>
      <c r="I6" s="1166"/>
      <c r="J6" s="1168"/>
      <c r="K6" s="1166"/>
      <c r="L6" s="1168"/>
      <c r="M6" s="1059" t="s">
        <v>13</v>
      </c>
      <c r="N6" s="1059" t="s">
        <v>14</v>
      </c>
      <c r="O6" s="1060" t="s">
        <v>15</v>
      </c>
      <c r="P6" s="1060" t="s">
        <v>16</v>
      </c>
      <c r="Q6" s="1060" t="s">
        <v>17</v>
      </c>
      <c r="R6" s="1149"/>
      <c r="S6" s="1149"/>
      <c r="T6" s="1061" t="s">
        <v>18</v>
      </c>
      <c r="U6" s="1062" t="s">
        <v>19</v>
      </c>
      <c r="V6" s="1062" t="s">
        <v>1430</v>
      </c>
      <c r="W6" s="1151"/>
      <c r="X6" s="1062" t="s">
        <v>21</v>
      </c>
      <c r="Y6" s="1062" t="s">
        <v>585</v>
      </c>
      <c r="Z6" s="1062" t="s">
        <v>22</v>
      </c>
      <c r="AA6" s="1062" t="s">
        <v>44</v>
      </c>
      <c r="AB6" s="1151"/>
      <c r="AC6" s="1152"/>
      <c r="AD6" s="1146"/>
      <c r="AE6" s="1171"/>
      <c r="AF6" s="1164"/>
    </row>
    <row r="7" spans="1:35" s="47" customFormat="1" ht="35.25" customHeight="1">
      <c r="A7" s="32" t="s">
        <v>587</v>
      </c>
      <c r="B7" s="33"/>
      <c r="C7" s="34"/>
      <c r="D7" s="34"/>
      <c r="E7" s="35"/>
      <c r="F7" s="36"/>
      <c r="G7" s="37"/>
      <c r="H7" s="37"/>
      <c r="I7" s="38"/>
      <c r="J7" s="38"/>
      <c r="K7" s="37"/>
      <c r="L7" s="37"/>
      <c r="M7" s="39"/>
      <c r="N7" s="39"/>
      <c r="O7" s="39"/>
      <c r="P7" s="39"/>
      <c r="Q7" s="39"/>
      <c r="R7" s="40"/>
      <c r="S7" s="40"/>
      <c r="T7" s="41"/>
      <c r="U7" s="41"/>
      <c r="V7" s="42"/>
      <c r="W7" s="43"/>
      <c r="X7" s="41"/>
      <c r="Y7" s="44"/>
      <c r="Z7" s="41"/>
      <c r="AA7" s="41"/>
      <c r="AB7" s="45"/>
      <c r="AC7" s="45"/>
      <c r="AD7" s="46"/>
      <c r="AE7" s="181"/>
      <c r="AF7" s="46"/>
      <c r="AH7" s="182"/>
      <c r="AI7" s="183"/>
    </row>
    <row r="8" spans="1:35" s="61" customFormat="1" ht="34.5" customHeight="1">
      <c r="A8" s="108">
        <v>1</v>
      </c>
      <c r="B8" s="109" t="s">
        <v>201</v>
      </c>
      <c r="C8" s="110" t="s">
        <v>202</v>
      </c>
      <c r="D8" s="131" t="s">
        <v>430</v>
      </c>
      <c r="E8" s="131" t="s">
        <v>203</v>
      </c>
      <c r="F8" s="184">
        <v>44593</v>
      </c>
      <c r="G8" s="112">
        <f>VLOOKUP(B8,[2]Atte.!$B$6:$G$388,6,0)</f>
        <v>31</v>
      </c>
      <c r="H8" s="185">
        <f>VLOOKUP(B$8:B$322,[2]Atte.!$B$6:$L$386,11,0)</f>
        <v>0</v>
      </c>
      <c r="I8" s="112">
        <f>G8-H8</f>
        <v>31</v>
      </c>
      <c r="J8" s="112">
        <f ca="1">TODAY()-F8</f>
        <v>1099</v>
      </c>
      <c r="K8" s="185">
        <f>R8/G8</f>
        <v>5161.2903225806449</v>
      </c>
      <c r="L8" s="185">
        <v>160000</v>
      </c>
      <c r="M8" s="430">
        <f>+L8*0.6</f>
        <v>96000</v>
      </c>
      <c r="N8" s="430">
        <f>+L8*0.3</f>
        <v>48000</v>
      </c>
      <c r="O8" s="430">
        <f>+L8*0.06</f>
        <v>9600</v>
      </c>
      <c r="P8" s="430">
        <f>+L8*0.04</f>
        <v>6400</v>
      </c>
      <c r="Q8" s="431">
        <v>0</v>
      </c>
      <c r="R8" s="432">
        <f t="shared" ref="R8" si="0">SUM(M8:Q8)</f>
        <v>160000</v>
      </c>
      <c r="S8" s="432">
        <f>ROUND(I8*K8,)</f>
        <v>160000</v>
      </c>
      <c r="T8" s="433"/>
      <c r="U8" s="433"/>
      <c r="V8" s="434">
        <v>0</v>
      </c>
      <c r="W8" s="435">
        <f>ROUND(SUM(S8:V8),0)</f>
        <v>160000</v>
      </c>
      <c r="X8" s="408">
        <v>7709</v>
      </c>
      <c r="Y8" s="408"/>
      <c r="Z8" s="433">
        <f>M8*5%</f>
        <v>4800</v>
      </c>
      <c r="AA8" s="433"/>
      <c r="AB8" s="436">
        <f>SUM(X8:AA8)</f>
        <v>12509</v>
      </c>
      <c r="AC8" s="436">
        <f>W8-AB8</f>
        <v>147491</v>
      </c>
      <c r="AD8" s="437" t="s">
        <v>23</v>
      </c>
      <c r="AE8" s="438"/>
      <c r="AF8" s="111" t="s">
        <v>204</v>
      </c>
      <c r="AG8" s="798"/>
      <c r="AH8" s="197"/>
      <c r="AI8" s="198"/>
    </row>
    <row r="9" spans="1:35" s="30" customFormat="1" ht="24.95" customHeight="1">
      <c r="A9" s="1063"/>
      <c r="B9" s="1064"/>
      <c r="C9" s="1065"/>
      <c r="D9" s="1066"/>
      <c r="E9" s="1067"/>
      <c r="F9" s="1068"/>
      <c r="G9" s="1069"/>
      <c r="H9" s="1069"/>
      <c r="I9" s="1070"/>
      <c r="J9" s="1070"/>
      <c r="K9" s="1070"/>
      <c r="L9" s="1070"/>
      <c r="M9" s="1037">
        <f t="shared" ref="M9:AB9" si="1">SUM(M8:M8)</f>
        <v>96000</v>
      </c>
      <c r="N9" s="1037">
        <f t="shared" si="1"/>
        <v>48000</v>
      </c>
      <c r="O9" s="1037">
        <f t="shared" si="1"/>
        <v>9600</v>
      </c>
      <c r="P9" s="1037">
        <f t="shared" si="1"/>
        <v>6400</v>
      </c>
      <c r="Q9" s="1037">
        <f t="shared" si="1"/>
        <v>0</v>
      </c>
      <c r="R9" s="1037">
        <f t="shared" si="1"/>
        <v>160000</v>
      </c>
      <c r="S9" s="1037">
        <f t="shared" si="1"/>
        <v>160000</v>
      </c>
      <c r="T9" s="1037">
        <f t="shared" si="1"/>
        <v>0</v>
      </c>
      <c r="U9" s="1037">
        <f t="shared" si="1"/>
        <v>0</v>
      </c>
      <c r="V9" s="1037">
        <f t="shared" si="1"/>
        <v>0</v>
      </c>
      <c r="W9" s="1037">
        <f t="shared" si="1"/>
        <v>160000</v>
      </c>
      <c r="X9" s="1037">
        <f t="shared" si="1"/>
        <v>7709</v>
      </c>
      <c r="Y9" s="1037">
        <f t="shared" si="1"/>
        <v>0</v>
      </c>
      <c r="Z9" s="1037">
        <f t="shared" si="1"/>
        <v>4800</v>
      </c>
      <c r="AA9" s="1037">
        <f t="shared" si="1"/>
        <v>0</v>
      </c>
      <c r="AB9" s="1037">
        <f t="shared" si="1"/>
        <v>12509</v>
      </c>
      <c r="AC9" s="1037">
        <f>SUM(AC8:AC8)</f>
        <v>147491</v>
      </c>
      <c r="AD9" s="1038"/>
      <c r="AE9" s="1071"/>
      <c r="AF9" s="1039"/>
      <c r="AH9" s="197"/>
      <c r="AI9" s="200"/>
    </row>
    <row r="10" spans="1:35" s="47" customFormat="1" ht="16.5">
      <c r="A10" s="201"/>
      <c r="B10" s="202"/>
      <c r="C10" s="203"/>
      <c r="D10" s="204"/>
      <c r="E10" s="205"/>
      <c r="F10" s="206"/>
      <c r="G10" s="204"/>
      <c r="H10" s="207"/>
      <c r="I10" s="208"/>
      <c r="J10" s="208"/>
      <c r="K10" s="207"/>
      <c r="L10" s="207"/>
      <c r="M10" s="209"/>
      <c r="N10" s="209"/>
      <c r="O10" s="209"/>
      <c r="P10" s="209"/>
      <c r="Q10" s="210"/>
      <c r="R10" s="138"/>
      <c r="S10" s="138"/>
      <c r="T10" s="211"/>
      <c r="U10" s="211"/>
      <c r="V10" s="212"/>
      <c r="W10" s="213"/>
      <c r="X10" s="209"/>
      <c r="Y10" s="214"/>
      <c r="Z10" s="211"/>
      <c r="AA10" s="211"/>
      <c r="AB10" s="182"/>
      <c r="AC10" s="182"/>
      <c r="AD10" s="215"/>
      <c r="AE10" s="216"/>
      <c r="AF10" s="205"/>
      <c r="AH10" s="182"/>
      <c r="AI10" s="183"/>
    </row>
    <row r="11" spans="1:35" s="142" customFormat="1" ht="24.95" customHeight="1">
      <c r="A11" s="1165" t="s">
        <v>390</v>
      </c>
      <c r="B11" s="1165"/>
      <c r="C11" s="1165"/>
      <c r="D11" s="1165"/>
      <c r="E11" s="1165"/>
      <c r="F11" s="1165"/>
      <c r="G11" s="1165"/>
      <c r="H11" s="1165"/>
      <c r="I11" s="1165"/>
      <c r="J11" s="519"/>
      <c r="K11" s="230"/>
      <c r="L11" s="230"/>
      <c r="M11" s="231">
        <f>M8</f>
        <v>96000</v>
      </c>
      <c r="N11" s="231">
        <f t="shared" ref="N11:AC11" si="2">N8</f>
        <v>48000</v>
      </c>
      <c r="O11" s="231">
        <f t="shared" si="2"/>
        <v>9600</v>
      </c>
      <c r="P11" s="231">
        <f t="shared" si="2"/>
        <v>6400</v>
      </c>
      <c r="Q11" s="231">
        <f t="shared" si="2"/>
        <v>0</v>
      </c>
      <c r="R11" s="231">
        <f t="shared" si="2"/>
        <v>160000</v>
      </c>
      <c r="S11" s="231">
        <f t="shared" si="2"/>
        <v>160000</v>
      </c>
      <c r="T11" s="231">
        <f t="shared" si="2"/>
        <v>0</v>
      </c>
      <c r="U11" s="231">
        <f t="shared" si="2"/>
        <v>0</v>
      </c>
      <c r="V11" s="231">
        <f t="shared" si="2"/>
        <v>0</v>
      </c>
      <c r="W11" s="231">
        <f t="shared" si="2"/>
        <v>160000</v>
      </c>
      <c r="X11" s="231">
        <f t="shared" si="2"/>
        <v>7709</v>
      </c>
      <c r="Y11" s="231">
        <f t="shared" si="2"/>
        <v>0</v>
      </c>
      <c r="Z11" s="231">
        <f t="shared" si="2"/>
        <v>4800</v>
      </c>
      <c r="AA11" s="231">
        <f t="shared" si="2"/>
        <v>0</v>
      </c>
      <c r="AB11" s="231">
        <f t="shared" si="2"/>
        <v>12509</v>
      </c>
      <c r="AC11" s="231">
        <f t="shared" si="2"/>
        <v>147491</v>
      </c>
      <c r="AD11" s="232"/>
      <c r="AE11" s="233"/>
      <c r="AF11" s="234"/>
      <c r="AH11" s="182"/>
      <c r="AI11" s="223"/>
    </row>
    <row r="12" spans="1:35" s="142" customFormat="1" ht="24.95" customHeight="1">
      <c r="A12" s="132"/>
      <c r="B12" s="133"/>
      <c r="C12" s="134"/>
      <c r="D12" s="135"/>
      <c r="E12" s="136"/>
      <c r="F12" s="137"/>
      <c r="G12" s="138"/>
      <c r="H12" s="138"/>
      <c r="I12" s="139"/>
      <c r="J12" s="139"/>
      <c r="K12" s="139"/>
      <c r="L12" s="139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1"/>
      <c r="AE12" s="235"/>
      <c r="AF12" s="136"/>
      <c r="AH12" s="182"/>
      <c r="AI12" s="223"/>
    </row>
    <row r="13" spans="1:35" s="130" customFormat="1" ht="20.100000000000001" customHeight="1">
      <c r="A13" s="121"/>
      <c r="B13" s="121"/>
      <c r="C13" s="122"/>
      <c r="D13" s="143"/>
      <c r="E13" s="121"/>
      <c r="F13" s="122"/>
      <c r="G13" s="124"/>
      <c r="H13" s="124"/>
      <c r="I13" s="123"/>
      <c r="J13" s="123"/>
      <c r="K13" s="236"/>
      <c r="L13" s="236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X13" s="127" t="s">
        <v>29</v>
      </c>
      <c r="Z13" s="126"/>
      <c r="AA13" s="125"/>
      <c r="AC13" s="127" t="s">
        <v>23</v>
      </c>
      <c r="AD13" s="128" t="s">
        <v>24</v>
      </c>
      <c r="AE13" s="237"/>
      <c r="AF13" s="15">
        <f>AC11-AF14</f>
        <v>127491</v>
      </c>
      <c r="AH13" s="182"/>
    </row>
    <row r="14" spans="1:35" s="130" customFormat="1" ht="20.100000000000001" customHeight="1">
      <c r="A14" s="121"/>
      <c r="B14" s="121"/>
      <c r="C14" s="122"/>
      <c r="D14" s="143"/>
      <c r="E14" s="121"/>
      <c r="F14" s="122"/>
      <c r="G14" s="124"/>
      <c r="H14" s="124"/>
      <c r="I14" s="123"/>
      <c r="J14" s="123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4"/>
      <c r="X14" s="125"/>
      <c r="Z14" s="126"/>
      <c r="AA14" s="125"/>
      <c r="AC14" s="127" t="s">
        <v>25</v>
      </c>
      <c r="AD14" s="128" t="s">
        <v>24</v>
      </c>
      <c r="AE14" s="237"/>
      <c r="AF14" s="15">
        <f>20000</f>
        <v>20000</v>
      </c>
      <c r="AH14" s="182"/>
    </row>
    <row r="15" spans="1:35" s="130" customFormat="1" ht="20.100000000000001" customHeight="1" thickBot="1">
      <c r="A15" s="121"/>
      <c r="B15" s="121"/>
      <c r="C15" s="122"/>
      <c r="D15" s="143"/>
      <c r="E15" s="121"/>
      <c r="F15" s="122"/>
      <c r="G15" s="124"/>
      <c r="H15" s="124"/>
      <c r="I15" s="123"/>
      <c r="J15" s="123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4"/>
      <c r="X15" s="125"/>
      <c r="Z15" s="126"/>
      <c r="AA15" s="125"/>
      <c r="AB15" s="125"/>
      <c r="AC15" s="127"/>
      <c r="AD15" s="128"/>
      <c r="AE15" s="237"/>
      <c r="AF15" s="144">
        <f>SUM(AF13:AF14)</f>
        <v>147491</v>
      </c>
      <c r="AH15" s="182"/>
    </row>
    <row r="16" spans="1:35" s="130" customFormat="1" ht="20.100000000000001" customHeight="1" thickTop="1">
      <c r="A16" s="121"/>
      <c r="B16" s="121"/>
      <c r="C16" s="122"/>
      <c r="D16" s="143"/>
      <c r="E16" s="121"/>
      <c r="F16" s="122"/>
      <c r="G16" s="124"/>
      <c r="H16" s="124"/>
      <c r="I16" s="123"/>
      <c r="J16" s="123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4"/>
      <c r="X16" s="127"/>
      <c r="Z16" s="126"/>
      <c r="AA16" s="125"/>
      <c r="AB16" s="125"/>
      <c r="AC16" s="127"/>
      <c r="AD16" s="128"/>
      <c r="AE16" s="237"/>
      <c r="AF16" s="129"/>
      <c r="AH16" s="182"/>
    </row>
    <row r="17" spans="1:34" s="130" customFormat="1" ht="20.100000000000001" customHeight="1">
      <c r="A17" s="121"/>
      <c r="B17" s="121"/>
      <c r="C17" s="122"/>
      <c r="D17" s="143"/>
      <c r="E17" s="121"/>
      <c r="F17" s="122"/>
      <c r="G17" s="124"/>
      <c r="H17" s="124"/>
      <c r="I17" s="123"/>
      <c r="J17" s="123"/>
      <c r="K17" s="124"/>
      <c r="L17" s="124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4"/>
      <c r="X17" s="127"/>
      <c r="Z17" s="126"/>
      <c r="AA17" s="125"/>
      <c r="AB17" s="125"/>
      <c r="AC17" s="127"/>
      <c r="AD17" s="128"/>
      <c r="AE17" s="237"/>
      <c r="AF17" s="129"/>
      <c r="AH17" s="182"/>
    </row>
    <row r="18" spans="1:34" s="130" customFormat="1" ht="20.100000000000001" customHeight="1">
      <c r="A18" s="121"/>
      <c r="B18" s="121"/>
      <c r="C18" s="122"/>
      <c r="D18" s="143"/>
      <c r="E18" s="121"/>
      <c r="F18" s="122"/>
      <c r="G18" s="124"/>
      <c r="H18" s="124"/>
      <c r="I18" s="123"/>
      <c r="J18" s="123"/>
      <c r="K18" s="124"/>
      <c r="L18" s="124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4"/>
      <c r="X18" s="127"/>
      <c r="Z18" s="126"/>
      <c r="AA18" s="125"/>
      <c r="AB18" s="125"/>
      <c r="AC18" s="127"/>
      <c r="AD18" s="128"/>
      <c r="AE18" s="237"/>
      <c r="AF18" s="129"/>
      <c r="AH18" s="182"/>
    </row>
    <row r="19" spans="1:34" s="130" customFormat="1" ht="20.100000000000001" customHeight="1">
      <c r="A19" s="121"/>
      <c r="B19" s="121"/>
      <c r="C19" s="122"/>
      <c r="D19" s="143"/>
      <c r="E19" s="121"/>
      <c r="F19" s="122"/>
      <c r="G19" s="124"/>
      <c r="H19" s="124"/>
      <c r="I19" s="123"/>
      <c r="J19" s="123"/>
      <c r="K19" s="124"/>
      <c r="L19" s="124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4"/>
      <c r="X19" s="127"/>
      <c r="Z19" s="126"/>
      <c r="AA19" s="125"/>
      <c r="AB19" s="125"/>
      <c r="AC19" s="127"/>
      <c r="AD19" s="128"/>
      <c r="AE19" s="237"/>
      <c r="AF19" s="129"/>
      <c r="AH19" s="182"/>
    </row>
    <row r="20" spans="1:34" s="130" customFormat="1" ht="20.100000000000001" customHeight="1">
      <c r="A20" s="121"/>
      <c r="B20" s="121"/>
      <c r="C20" s="122"/>
      <c r="D20" s="143"/>
      <c r="E20" s="121"/>
      <c r="F20" s="122"/>
      <c r="G20" s="124"/>
      <c r="H20" s="124"/>
      <c r="I20" s="123"/>
      <c r="J20" s="123"/>
      <c r="K20" s="124"/>
      <c r="L20" s="124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4"/>
      <c r="X20" s="127"/>
      <c r="Z20" s="126"/>
      <c r="AA20" s="125"/>
      <c r="AB20" s="125"/>
      <c r="AC20" s="127"/>
      <c r="AD20" s="128"/>
      <c r="AE20" s="237"/>
      <c r="AF20" s="129"/>
      <c r="AH20" s="182"/>
    </row>
    <row r="21" spans="1:34" s="130" customFormat="1" ht="20.100000000000001" customHeight="1">
      <c r="A21" s="121"/>
      <c r="B21" s="121"/>
      <c r="C21" s="122"/>
      <c r="D21" s="143"/>
      <c r="E21" s="121"/>
      <c r="F21" s="122"/>
      <c r="G21" s="124"/>
      <c r="H21" s="124"/>
      <c r="I21" s="123"/>
      <c r="J21" s="123"/>
      <c r="K21" s="124"/>
      <c r="L21" s="124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4"/>
      <c r="X21" s="14"/>
      <c r="Y21" s="125"/>
      <c r="Z21" s="126"/>
      <c r="AA21" s="125"/>
      <c r="AB21" s="238"/>
      <c r="AC21" s="240"/>
      <c r="AD21" s="128"/>
      <c r="AE21" s="237"/>
      <c r="AF21" s="241"/>
      <c r="AH21" s="182"/>
    </row>
    <row r="22" spans="1:34" s="130" customFormat="1" ht="20.100000000000001" customHeight="1">
      <c r="A22" s="121"/>
      <c r="B22" s="121"/>
      <c r="C22" s="122"/>
      <c r="D22" s="143"/>
      <c r="E22" s="121"/>
      <c r="F22" s="122"/>
      <c r="G22" s="124"/>
      <c r="H22" s="124"/>
      <c r="I22" s="123"/>
      <c r="J22" s="123"/>
      <c r="K22" s="124"/>
      <c r="L22" s="124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4"/>
      <c r="X22" s="14"/>
      <c r="Y22" s="125"/>
      <c r="Z22" s="126"/>
      <c r="AA22" s="125"/>
      <c r="AB22" s="238"/>
      <c r="AC22" s="240"/>
      <c r="AD22" s="128"/>
      <c r="AE22" s="237"/>
      <c r="AF22" s="241"/>
      <c r="AH22" s="182"/>
    </row>
    <row r="23" spans="1:34" s="130" customFormat="1" ht="20.100000000000001" customHeight="1">
      <c r="A23" s="121"/>
      <c r="B23" s="121"/>
      <c r="C23" s="122"/>
      <c r="D23" s="143"/>
      <c r="E23" s="121"/>
      <c r="F23" s="122"/>
      <c r="G23" s="124"/>
      <c r="H23" s="124"/>
      <c r="I23" s="123"/>
      <c r="J23" s="123"/>
      <c r="K23" s="124"/>
      <c r="L23" s="124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4"/>
      <c r="X23" s="14"/>
      <c r="Y23" s="125"/>
      <c r="Z23" s="126"/>
      <c r="AA23" s="125"/>
      <c r="AB23" s="238"/>
      <c r="AC23" s="240"/>
      <c r="AD23" s="128"/>
      <c r="AE23" s="237"/>
      <c r="AF23" s="241"/>
      <c r="AH23" s="182"/>
    </row>
    <row r="24" spans="1:34" s="130" customFormat="1" ht="19.5" customHeight="1">
      <c r="A24" s="121"/>
      <c r="B24" s="121"/>
      <c r="C24" s="122"/>
      <c r="D24" s="143"/>
      <c r="E24" s="121"/>
      <c r="F24" s="122"/>
      <c r="G24" s="124"/>
      <c r="H24" s="124"/>
      <c r="I24" s="123"/>
      <c r="J24" s="123"/>
      <c r="K24" s="124"/>
      <c r="L24" s="124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4"/>
      <c r="X24" s="14"/>
      <c r="Y24" s="127"/>
      <c r="Z24" s="127"/>
      <c r="AA24" s="239"/>
      <c r="AB24" s="238"/>
      <c r="AC24" s="240"/>
      <c r="AD24" s="128"/>
      <c r="AE24" s="237"/>
      <c r="AF24" s="241"/>
      <c r="AH24" s="182"/>
    </row>
    <row r="25" spans="1:34" s="130" customFormat="1" ht="19.5" customHeight="1">
      <c r="A25" s="121"/>
      <c r="B25" s="121"/>
      <c r="C25" s="122"/>
      <c r="D25" s="143"/>
      <c r="E25" s="121"/>
      <c r="F25" s="122"/>
      <c r="G25" s="124"/>
      <c r="H25" s="124"/>
      <c r="I25" s="123"/>
      <c r="J25" s="123"/>
      <c r="K25" s="124"/>
      <c r="L25" s="124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4"/>
      <c r="X25" s="14"/>
      <c r="Y25" s="14"/>
      <c r="Z25" s="14"/>
      <c r="AA25" s="13"/>
      <c r="AB25" s="12"/>
      <c r="AC25" s="12"/>
      <c r="AE25" s="242"/>
      <c r="AF25" s="129"/>
      <c r="AH25" s="182"/>
    </row>
    <row r="26" spans="1:34" s="130" customFormat="1" ht="16.5">
      <c r="A26" s="121"/>
      <c r="B26" s="121"/>
      <c r="C26" s="122"/>
      <c r="D26" s="143"/>
      <c r="E26" s="121"/>
      <c r="F26" s="122"/>
      <c r="G26" s="124"/>
      <c r="H26" s="124"/>
      <c r="I26" s="123"/>
      <c r="J26" s="123"/>
      <c r="K26" s="124"/>
      <c r="L26" s="124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45"/>
      <c r="AE26" s="242"/>
      <c r="AF26" s="145"/>
      <c r="AH26" s="182"/>
    </row>
    <row r="27" spans="1:34" s="130" customFormat="1" ht="19.5" customHeight="1">
      <c r="A27" s="121"/>
      <c r="B27" s="121"/>
      <c r="C27" s="122"/>
      <c r="D27" s="143"/>
      <c r="E27" s="121"/>
      <c r="F27" s="122"/>
      <c r="G27" s="124"/>
      <c r="H27" s="124"/>
      <c r="I27" s="123"/>
      <c r="J27" s="123"/>
      <c r="K27" s="124"/>
      <c r="L27" s="124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45"/>
      <c r="AE27" s="242"/>
      <c r="AF27" s="145"/>
      <c r="AH27" s="182"/>
    </row>
    <row r="28" spans="1:34" s="130" customFormat="1" ht="19.5" customHeight="1">
      <c r="A28" s="121"/>
      <c r="B28" s="121"/>
      <c r="C28" s="122"/>
      <c r="D28" s="143"/>
      <c r="E28" s="121"/>
      <c r="F28" s="122"/>
      <c r="G28" s="124"/>
      <c r="H28" s="124"/>
      <c r="I28" s="123"/>
      <c r="J28" s="123"/>
      <c r="K28" s="124"/>
      <c r="L28" s="124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45"/>
      <c r="AE28" s="242"/>
      <c r="AF28" s="145"/>
      <c r="AH28" s="182"/>
    </row>
    <row r="29" spans="1:34" s="130" customFormat="1" ht="19.5" customHeight="1">
      <c r="A29" s="121"/>
      <c r="B29" s="121"/>
      <c r="C29" s="122"/>
      <c r="D29" s="143"/>
      <c r="E29" s="121"/>
      <c r="F29" s="122"/>
      <c r="G29" s="124"/>
      <c r="H29" s="124"/>
      <c r="I29" s="123"/>
      <c r="J29" s="123"/>
      <c r="K29" s="124"/>
      <c r="L29" s="124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Y29" s="146"/>
      <c r="Z29" s="123"/>
      <c r="AA29" s="123"/>
      <c r="AB29" s="123"/>
      <c r="AC29" s="123"/>
      <c r="AD29" s="145"/>
      <c r="AE29" s="242"/>
      <c r="AF29" s="123"/>
      <c r="AH29" s="182"/>
    </row>
    <row r="30" spans="1:34" s="17" customFormat="1" ht="16.5">
      <c r="B30" s="18"/>
      <c r="C30" s="18"/>
      <c r="D30" s="147"/>
      <c r="E30" s="148"/>
      <c r="F30" s="18"/>
      <c r="G30" s="18"/>
      <c r="H30" s="18"/>
      <c r="I30" s="18"/>
      <c r="J30" s="18"/>
      <c r="K30" s="18"/>
      <c r="L30" s="18"/>
      <c r="M30" s="18"/>
      <c r="N30" s="18"/>
      <c r="O30" s="18"/>
      <c r="R30" s="18"/>
      <c r="S30" s="18"/>
      <c r="T30" s="18"/>
      <c r="U30" s="18"/>
      <c r="V30" s="18"/>
      <c r="W30" s="18"/>
      <c r="AA30" s="18"/>
      <c r="AB30" s="18"/>
      <c r="AC30" s="18"/>
      <c r="AD30" s="18"/>
      <c r="AE30" s="18"/>
      <c r="AF30" s="18"/>
      <c r="AH30" s="182"/>
    </row>
    <row r="31" spans="1:34" s="130" customFormat="1" ht="19.5" customHeight="1">
      <c r="A31" s="121"/>
      <c r="B31" s="121"/>
      <c r="C31" s="122"/>
      <c r="D31" s="143"/>
      <c r="E31" s="121"/>
      <c r="F31" s="122"/>
      <c r="G31" s="124"/>
      <c r="H31" s="124"/>
      <c r="I31" s="123"/>
      <c r="J31" s="123"/>
      <c r="K31" s="124"/>
      <c r="L31" s="124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45"/>
      <c r="AE31" s="242"/>
      <c r="AF31" s="145"/>
      <c r="AH31" s="182"/>
    </row>
    <row r="32" spans="1:34" s="155" customFormat="1" ht="19.5" customHeight="1">
      <c r="A32" s="149"/>
      <c r="B32" s="149"/>
      <c r="C32" s="150"/>
      <c r="D32" s="151"/>
      <c r="E32" s="149"/>
      <c r="F32" s="150"/>
      <c r="G32" s="152"/>
      <c r="H32" s="152"/>
      <c r="I32" s="153"/>
      <c r="J32" s="153"/>
      <c r="K32" s="152"/>
      <c r="L32" s="152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23"/>
      <c r="Y32" s="153"/>
      <c r="Z32" s="153"/>
      <c r="AA32" s="153"/>
      <c r="AB32" s="153"/>
      <c r="AC32" s="153"/>
      <c r="AD32" s="154"/>
      <c r="AE32" s="243"/>
      <c r="AF32" s="154"/>
      <c r="AH32" s="197"/>
    </row>
    <row r="33" spans="1:34" ht="21" customHeight="1">
      <c r="W33" s="164"/>
      <c r="AH33" s="197"/>
    </row>
    <row r="34" spans="1:34" s="167" customFormat="1" ht="18">
      <c r="A34" s="166"/>
      <c r="B34" s="166"/>
      <c r="D34" s="168"/>
      <c r="E34" s="166"/>
      <c r="G34" s="169"/>
      <c r="H34" s="170"/>
      <c r="K34" s="170"/>
      <c r="L34" s="170"/>
      <c r="M34" s="171"/>
      <c r="N34" s="171"/>
      <c r="O34" s="171"/>
      <c r="P34" s="171"/>
      <c r="Q34" s="171"/>
      <c r="R34" s="172"/>
      <c r="S34" s="173"/>
      <c r="U34" s="166"/>
      <c r="W34" s="173"/>
      <c r="X34" s="174"/>
      <c r="Y34" s="175"/>
      <c r="Z34" s="176"/>
      <c r="AA34" s="166"/>
      <c r="AB34" s="166"/>
      <c r="AC34" s="166"/>
      <c r="AD34" s="166"/>
      <c r="AF34" s="166"/>
      <c r="AH34" s="197"/>
    </row>
    <row r="35" spans="1:34" s="167" customFormat="1" ht="18">
      <c r="A35" s="166"/>
      <c r="B35" s="166"/>
      <c r="D35" s="168"/>
      <c r="E35" s="166"/>
      <c r="H35" s="170"/>
      <c r="K35" s="169"/>
      <c r="L35" s="169"/>
      <c r="M35" s="171"/>
      <c r="N35" s="172"/>
      <c r="P35" s="171"/>
      <c r="S35" s="173"/>
      <c r="U35" s="166"/>
      <c r="W35" s="173"/>
      <c r="X35" s="174"/>
      <c r="AA35" s="166"/>
      <c r="AB35" s="166"/>
      <c r="AC35" s="166"/>
      <c r="AD35" s="166"/>
      <c r="AF35" s="166"/>
      <c r="AH35" s="197"/>
    </row>
    <row r="36" spans="1:34" s="167" customFormat="1" ht="18">
      <c r="D36" s="168"/>
      <c r="E36" s="166"/>
      <c r="H36" s="170"/>
      <c r="K36" s="170"/>
      <c r="L36" s="170"/>
      <c r="S36" s="166"/>
      <c r="T36" s="177"/>
      <c r="U36" s="178"/>
      <c r="W36" s="173"/>
      <c r="X36" s="174"/>
      <c r="AD36" s="166"/>
      <c r="AF36" s="166"/>
      <c r="AH36" s="197"/>
    </row>
    <row r="37" spans="1:34" s="167" customFormat="1" ht="18">
      <c r="D37" s="168"/>
      <c r="E37" s="166"/>
      <c r="F37" s="179"/>
      <c r="H37" s="170"/>
      <c r="K37" s="170"/>
      <c r="L37" s="170"/>
      <c r="S37" s="166"/>
      <c r="T37" s="177"/>
      <c r="U37" s="178"/>
      <c r="W37" s="173"/>
      <c r="X37" s="174"/>
      <c r="AD37" s="166"/>
      <c r="AF37" s="166"/>
    </row>
    <row r="38" spans="1:34" s="167" customFormat="1" ht="18">
      <c r="D38" s="168"/>
      <c r="E38" s="166"/>
      <c r="H38" s="170"/>
      <c r="K38" s="170"/>
      <c r="L38" s="170"/>
      <c r="S38" s="166"/>
      <c r="W38" s="173"/>
      <c r="X38" s="174"/>
      <c r="AD38" s="166"/>
      <c r="AF38" s="166"/>
    </row>
    <row r="39" spans="1:34" ht="18">
      <c r="A39" s="167"/>
      <c r="B39" s="167"/>
      <c r="C39" s="167"/>
      <c r="F39" s="167"/>
      <c r="K39" s="170"/>
      <c r="L39" s="170"/>
      <c r="M39" s="167"/>
      <c r="N39" s="167"/>
      <c r="O39" s="167"/>
      <c r="P39" s="167"/>
      <c r="S39" s="166"/>
      <c r="AB39" s="167"/>
      <c r="AC39" s="167"/>
      <c r="AD39" s="166"/>
      <c r="AE39" s="167"/>
    </row>
    <row r="56" spans="2:2" ht="20.25">
      <c r="B56" s="180"/>
    </row>
  </sheetData>
  <mergeCells count="27">
    <mergeCell ref="A1:AF1"/>
    <mergeCell ref="A2:AF2"/>
    <mergeCell ref="A3:AF3"/>
    <mergeCell ref="A5:A6"/>
    <mergeCell ref="B5:B6"/>
    <mergeCell ref="C5:C6"/>
    <mergeCell ref="D5:D6"/>
    <mergeCell ref="E5:E6"/>
    <mergeCell ref="F5:F6"/>
    <mergeCell ref="G5:G6"/>
    <mergeCell ref="AC5:AC6"/>
    <mergeCell ref="AD5:AD6"/>
    <mergeCell ref="AE5:AE6"/>
    <mergeCell ref="AF5:AF6"/>
    <mergeCell ref="X5:AA5"/>
    <mergeCell ref="AB5:AB6"/>
    <mergeCell ref="A11:I11"/>
    <mergeCell ref="R5:R6"/>
    <mergeCell ref="S5:S6"/>
    <mergeCell ref="T5:V5"/>
    <mergeCell ref="W5:W6"/>
    <mergeCell ref="M5:Q5"/>
    <mergeCell ref="H5:H6"/>
    <mergeCell ref="I5:I6"/>
    <mergeCell ref="J5:J6"/>
    <mergeCell ref="K5:K6"/>
    <mergeCell ref="L5:L6"/>
  </mergeCells>
  <printOptions horizontalCentered="1"/>
  <pageMargins left="0.19685039370078741" right="0" top="0.55118110236220474" bottom="0.62992125984251968" header="0.31496062992125984" footer="0.6692913385826772"/>
  <pageSetup paperSize="9" scale="51" fitToHeight="0" orientation="landscape" verticalDpi="1200" r:id="rId1"/>
  <headerFooter>
    <oddFooter xml:space="preserve">&amp;C                                                                                             &amp;R&amp;"-,Bold"&amp;14Page &amp;P of &amp;N 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7" tint="0.39997558519241921"/>
    <pageSetUpPr fitToPage="1"/>
  </sheetPr>
  <dimension ref="A1:AJ55"/>
  <sheetViews>
    <sheetView view="pageBreakPreview" topLeftCell="B1" zoomScale="85" zoomScaleNormal="100" zoomScaleSheetLayoutView="85" zoomScalePageLayoutView="80" workbookViewId="0">
      <selection activeCell="AG4" sqref="AG4"/>
    </sheetView>
  </sheetViews>
  <sheetFormatPr defaultColWidth="9.140625" defaultRowHeight="12.75"/>
  <cols>
    <col min="1" max="1" width="4.140625" style="156" customWidth="1"/>
    <col min="2" max="2" width="13.42578125" style="156" customWidth="1"/>
    <col min="3" max="3" width="18.42578125" style="157" customWidth="1"/>
    <col min="4" max="4" width="16" style="158" customWidth="1"/>
    <col min="5" max="5" width="8.7109375" style="156" customWidth="1"/>
    <col min="6" max="6" width="10.42578125" style="157" customWidth="1"/>
    <col min="7" max="7" width="6.140625" style="159" customWidth="1"/>
    <col min="8" max="8" width="5.5703125" style="160" customWidth="1"/>
    <col min="9" max="10" width="5.42578125" style="157" customWidth="1"/>
    <col min="11" max="12" width="8.85546875" style="160" customWidth="1"/>
    <col min="13" max="13" width="8.5703125" style="161" bestFit="1" customWidth="1"/>
    <col min="14" max="14" width="10" style="161" customWidth="1"/>
    <col min="15" max="16" width="8.5703125" style="161" bestFit="1" customWidth="1"/>
    <col min="17" max="17" width="9.5703125" style="161" hidden="1" customWidth="1"/>
    <col min="18" max="18" width="9.7109375" style="162" customWidth="1"/>
    <col min="19" max="19" width="9.7109375" style="163" customWidth="1"/>
    <col min="20" max="20" width="7.5703125" style="157" bestFit="1" customWidth="1"/>
    <col min="21" max="21" width="7.7109375" style="156" customWidth="1"/>
    <col min="22" max="22" width="8" style="157" customWidth="1"/>
    <col min="23" max="23" width="13.42578125" style="163" customWidth="1"/>
    <col min="24" max="24" width="7.7109375" style="165" customWidth="1"/>
    <col min="25" max="25" width="7.7109375" style="157" customWidth="1"/>
    <col min="26" max="26" width="7.140625" style="157" customWidth="1"/>
    <col min="27" max="27" width="6.5703125" style="156" customWidth="1"/>
    <col min="28" max="28" width="7.5703125" style="156" customWidth="1"/>
    <col min="29" max="29" width="9.42578125" style="156" customWidth="1"/>
    <col min="30" max="30" width="7.28515625" style="156" customWidth="1"/>
    <col min="31" max="31" width="4.42578125" style="157" hidden="1" customWidth="1"/>
    <col min="32" max="32" width="19.5703125" style="156" customWidth="1"/>
    <col min="33" max="33" width="9.140625" style="157"/>
    <col min="34" max="34" width="12.5703125" style="157" bestFit="1" customWidth="1"/>
    <col min="35" max="16384" width="9.140625" style="157"/>
  </cols>
  <sheetData>
    <row r="1" spans="1:36" s="26" customFormat="1" ht="25.5">
      <c r="A1" s="1157" t="s">
        <v>840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  <c r="O1" s="1157"/>
      <c r="P1" s="1157"/>
      <c r="Q1" s="1157"/>
      <c r="R1" s="1157"/>
      <c r="S1" s="1157"/>
      <c r="T1" s="1157"/>
      <c r="U1" s="1157"/>
      <c r="V1" s="1157"/>
      <c r="W1" s="1157"/>
      <c r="X1" s="1157"/>
      <c r="Y1" s="1157"/>
      <c r="Z1" s="1157"/>
      <c r="AA1" s="1157"/>
      <c r="AB1" s="1157"/>
      <c r="AC1" s="1157"/>
      <c r="AD1" s="1157"/>
      <c r="AE1" s="1157"/>
      <c r="AF1" s="1157"/>
    </row>
    <row r="2" spans="1:36" s="26" customFormat="1" ht="18">
      <c r="A2" s="1158" t="s">
        <v>1</v>
      </c>
      <c r="B2" s="1158"/>
      <c r="C2" s="1158"/>
      <c r="D2" s="1158"/>
      <c r="E2" s="1158"/>
      <c r="F2" s="1158"/>
      <c r="G2" s="1158"/>
      <c r="H2" s="1158"/>
      <c r="I2" s="1158"/>
      <c r="J2" s="1158"/>
      <c r="K2" s="1158"/>
      <c r="L2" s="1158"/>
      <c r="M2" s="1158"/>
      <c r="N2" s="1158"/>
      <c r="O2" s="1158"/>
      <c r="P2" s="1158"/>
      <c r="Q2" s="1158"/>
      <c r="R2" s="1158"/>
      <c r="S2" s="1158"/>
      <c r="T2" s="1158"/>
      <c r="U2" s="1158"/>
      <c r="V2" s="1158"/>
      <c r="W2" s="1158"/>
      <c r="X2" s="1158"/>
      <c r="Y2" s="1158"/>
      <c r="Z2" s="1158"/>
      <c r="AA2" s="1158"/>
      <c r="AB2" s="1158"/>
      <c r="AC2" s="1158"/>
      <c r="AD2" s="1158"/>
      <c r="AE2" s="1158"/>
      <c r="AF2" s="1158"/>
    </row>
    <row r="3" spans="1:36" s="26" customFormat="1" ht="18">
      <c r="A3" s="1158" t="s">
        <v>1829</v>
      </c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E3" s="1158"/>
      <c r="AF3" s="1158"/>
    </row>
    <row r="4" spans="1:36" s="26" customFormat="1" ht="20.25">
      <c r="A4" s="27"/>
      <c r="B4" s="27"/>
      <c r="C4" s="27"/>
      <c r="D4" s="28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9" t="s">
        <v>2</v>
      </c>
    </row>
    <row r="5" spans="1:36" s="30" customFormat="1" ht="15" customHeight="1">
      <c r="A5" s="1159" t="s">
        <v>3</v>
      </c>
      <c r="B5" s="1169" t="s">
        <v>30</v>
      </c>
      <c r="C5" s="1159" t="s">
        <v>31</v>
      </c>
      <c r="D5" s="1170" t="s">
        <v>32</v>
      </c>
      <c r="E5" s="1146" t="s">
        <v>33</v>
      </c>
      <c r="F5" s="1170" t="s">
        <v>34</v>
      </c>
      <c r="G5" s="1166" t="s">
        <v>35</v>
      </c>
      <c r="H5" s="1166" t="s">
        <v>36</v>
      </c>
      <c r="I5" s="1166" t="s">
        <v>37</v>
      </c>
      <c r="J5" s="1167" t="s">
        <v>1265</v>
      </c>
      <c r="K5" s="1166" t="s">
        <v>38</v>
      </c>
      <c r="L5" s="1167" t="s">
        <v>7</v>
      </c>
      <c r="M5" s="1163" t="s">
        <v>39</v>
      </c>
      <c r="N5" s="1163"/>
      <c r="O5" s="1163"/>
      <c r="P5" s="1163"/>
      <c r="Q5" s="1163"/>
      <c r="R5" s="1149" t="s">
        <v>7</v>
      </c>
      <c r="S5" s="1149" t="s">
        <v>8</v>
      </c>
      <c r="T5" s="1150" t="s">
        <v>9</v>
      </c>
      <c r="U5" s="1150"/>
      <c r="V5" s="1150"/>
      <c r="W5" s="1151" t="s">
        <v>40</v>
      </c>
      <c r="X5" s="1150" t="s">
        <v>10</v>
      </c>
      <c r="Y5" s="1150"/>
      <c r="Z5" s="1150"/>
      <c r="AA5" s="1150"/>
      <c r="AB5" s="1151" t="s">
        <v>11</v>
      </c>
      <c r="AC5" s="1152" t="s">
        <v>41</v>
      </c>
      <c r="AD5" s="1146" t="s">
        <v>42</v>
      </c>
      <c r="AE5" s="1171" t="s">
        <v>382</v>
      </c>
      <c r="AF5" s="1164" t="s">
        <v>43</v>
      </c>
    </row>
    <row r="6" spans="1:36" s="31" customFormat="1" ht="67.5" customHeight="1">
      <c r="A6" s="1159"/>
      <c r="B6" s="1169"/>
      <c r="C6" s="1159"/>
      <c r="D6" s="1170"/>
      <c r="E6" s="1146"/>
      <c r="F6" s="1170"/>
      <c r="G6" s="1166"/>
      <c r="H6" s="1166"/>
      <c r="I6" s="1166"/>
      <c r="J6" s="1168"/>
      <c r="K6" s="1166"/>
      <c r="L6" s="1168"/>
      <c r="M6" s="1059" t="s">
        <v>13</v>
      </c>
      <c r="N6" s="1059" t="s">
        <v>14</v>
      </c>
      <c r="O6" s="1060" t="s">
        <v>15</v>
      </c>
      <c r="P6" s="1060" t="s">
        <v>16</v>
      </c>
      <c r="Q6" s="1060" t="s">
        <v>17</v>
      </c>
      <c r="R6" s="1149"/>
      <c r="S6" s="1149"/>
      <c r="T6" s="1061" t="s">
        <v>18</v>
      </c>
      <c r="U6" s="1062" t="s">
        <v>19</v>
      </c>
      <c r="V6" s="1062" t="s">
        <v>20</v>
      </c>
      <c r="W6" s="1151"/>
      <c r="X6" s="1062" t="s">
        <v>21</v>
      </c>
      <c r="Y6" s="1062" t="s">
        <v>585</v>
      </c>
      <c r="Z6" s="1062" t="s">
        <v>22</v>
      </c>
      <c r="AA6" s="1062" t="s">
        <v>44</v>
      </c>
      <c r="AB6" s="1151"/>
      <c r="AC6" s="1152"/>
      <c r="AD6" s="1146"/>
      <c r="AE6" s="1171"/>
      <c r="AF6" s="1164"/>
    </row>
    <row r="7" spans="1:36" s="47" customFormat="1" ht="35.25" customHeight="1">
      <c r="A7" s="32" t="s">
        <v>383</v>
      </c>
      <c r="B7" s="33"/>
      <c r="C7" s="34"/>
      <c r="D7" s="34"/>
      <c r="E7" s="35"/>
      <c r="F7" s="36"/>
      <c r="G7" s="37"/>
      <c r="H7" s="37"/>
      <c r="I7" s="38"/>
      <c r="J7" s="38"/>
      <c r="K7" s="37"/>
      <c r="L7" s="37"/>
      <c r="M7" s="39"/>
      <c r="N7" s="39"/>
      <c r="O7" s="39"/>
      <c r="P7" s="39"/>
      <c r="Q7" s="39"/>
      <c r="R7" s="40"/>
      <c r="S7" s="40"/>
      <c r="T7" s="41"/>
      <c r="U7" s="41"/>
      <c r="V7" s="42"/>
      <c r="W7" s="43"/>
      <c r="X7" s="41"/>
      <c r="Y7" s="44"/>
      <c r="Z7" s="41"/>
      <c r="AA7" s="41"/>
      <c r="AB7" s="45"/>
      <c r="AC7" s="45"/>
      <c r="AD7" s="46"/>
      <c r="AE7" s="181"/>
      <c r="AF7" s="46"/>
      <c r="AH7" s="182"/>
      <c r="AI7" s="183"/>
    </row>
    <row r="8" spans="1:36" s="61" customFormat="1" ht="34.5" customHeight="1">
      <c r="A8" s="108">
        <v>1</v>
      </c>
      <c r="B8" s="109" t="s">
        <v>384</v>
      </c>
      <c r="C8" s="110" t="s">
        <v>385</v>
      </c>
      <c r="D8" s="131" t="s">
        <v>386</v>
      </c>
      <c r="E8" s="111" t="s">
        <v>47</v>
      </c>
      <c r="F8" s="587">
        <v>44854</v>
      </c>
      <c r="G8" s="112">
        <v>31</v>
      </c>
      <c r="H8" s="131">
        <v>0</v>
      </c>
      <c r="I8" s="112">
        <f>G8-H8</f>
        <v>31</v>
      </c>
      <c r="J8" s="112">
        <f ca="1">TODAY()-F8</f>
        <v>838</v>
      </c>
      <c r="K8" s="185">
        <f>R8/G8</f>
        <v>6451.6129032258068</v>
      </c>
      <c r="L8" s="185">
        <v>200000</v>
      </c>
      <c r="M8" s="186">
        <f>L8*60%</f>
        <v>120000</v>
      </c>
      <c r="N8" s="186">
        <f>L8*30%</f>
        <v>60000</v>
      </c>
      <c r="O8" s="186">
        <f>L8*6%</f>
        <v>12000</v>
      </c>
      <c r="P8" s="186">
        <f>L8*4%</f>
        <v>8000</v>
      </c>
      <c r="Q8" s="187">
        <v>0</v>
      </c>
      <c r="R8" s="188">
        <f t="shared" ref="R8" si="0">SUM(M8:Q8)</f>
        <v>200000</v>
      </c>
      <c r="S8" s="188">
        <f>ROUND(I8*K8,)</f>
        <v>200000</v>
      </c>
      <c r="T8" s="189"/>
      <c r="U8" s="189"/>
      <c r="V8" s="190"/>
      <c r="W8" s="191">
        <f>ROUND(SUM(S8:V8),0)</f>
        <v>200000</v>
      </c>
      <c r="X8" s="192">
        <v>4465</v>
      </c>
      <c r="Y8" s="767">
        <v>0</v>
      </c>
      <c r="Z8" s="189">
        <f ca="1">IF(J8&gt;=360,M8*5%/2,0)</f>
        <v>3000</v>
      </c>
      <c r="AA8" s="189"/>
      <c r="AB8" s="193">
        <f ca="1">SUM(X8:AA8)</f>
        <v>7465</v>
      </c>
      <c r="AC8" s="193">
        <f ca="1">W8-AB8</f>
        <v>192535</v>
      </c>
      <c r="AD8" s="194" t="s">
        <v>23</v>
      </c>
      <c r="AE8" s="195"/>
      <c r="AF8" s="196" t="s">
        <v>387</v>
      </c>
      <c r="AH8" s="197"/>
      <c r="AI8" s="198"/>
    </row>
    <row r="9" spans="1:36" s="30" customFormat="1" ht="24.95" customHeight="1">
      <c r="A9" s="1063"/>
      <c r="B9" s="1064"/>
      <c r="C9" s="1065"/>
      <c r="D9" s="1066"/>
      <c r="E9" s="1067"/>
      <c r="F9" s="1068"/>
      <c r="G9" s="1069"/>
      <c r="H9" s="1069"/>
      <c r="I9" s="1070"/>
      <c r="J9" s="1070"/>
      <c r="K9" s="1070"/>
      <c r="L9" s="1070"/>
      <c r="M9" s="1037">
        <f t="shared" ref="M9:AB9" si="1">SUM(M8:M8)</f>
        <v>120000</v>
      </c>
      <c r="N9" s="1037">
        <f t="shared" si="1"/>
        <v>60000</v>
      </c>
      <c r="O9" s="1037">
        <f t="shared" si="1"/>
        <v>12000</v>
      </c>
      <c r="P9" s="1037">
        <f t="shared" si="1"/>
        <v>8000</v>
      </c>
      <c r="Q9" s="1037">
        <f t="shared" si="1"/>
        <v>0</v>
      </c>
      <c r="R9" s="1037">
        <f t="shared" si="1"/>
        <v>200000</v>
      </c>
      <c r="S9" s="1037">
        <f t="shared" si="1"/>
        <v>200000</v>
      </c>
      <c r="T9" s="1037">
        <f t="shared" si="1"/>
        <v>0</v>
      </c>
      <c r="U9" s="1037">
        <f t="shared" si="1"/>
        <v>0</v>
      </c>
      <c r="V9" s="1037">
        <f t="shared" si="1"/>
        <v>0</v>
      </c>
      <c r="W9" s="1037">
        <f t="shared" si="1"/>
        <v>200000</v>
      </c>
      <c r="X9" s="1037">
        <f t="shared" si="1"/>
        <v>4465</v>
      </c>
      <c r="Y9" s="1037">
        <f t="shared" si="1"/>
        <v>0</v>
      </c>
      <c r="Z9" s="1037">
        <f t="shared" ca="1" si="1"/>
        <v>3000</v>
      </c>
      <c r="AA9" s="1037">
        <f t="shared" si="1"/>
        <v>0</v>
      </c>
      <c r="AB9" s="1037">
        <f t="shared" ca="1" si="1"/>
        <v>7465</v>
      </c>
      <c r="AC9" s="1037">
        <f ca="1">SUM(AC8:AC8)</f>
        <v>192535</v>
      </c>
      <c r="AD9" s="1038"/>
      <c r="AE9" s="1071"/>
      <c r="AF9" s="1039"/>
      <c r="AH9" s="197"/>
      <c r="AI9" s="200"/>
    </row>
    <row r="10" spans="1:36" s="47" customFormat="1" ht="16.5">
      <c r="A10" s="201"/>
      <c r="B10" s="202"/>
      <c r="C10" s="203"/>
      <c r="D10" s="204"/>
      <c r="E10" s="205"/>
      <c r="F10" s="206"/>
      <c r="G10" s="204"/>
      <c r="H10" s="207"/>
      <c r="I10" s="208"/>
      <c r="J10" s="208"/>
      <c r="K10" s="207"/>
      <c r="L10" s="207"/>
      <c r="M10" s="209"/>
      <c r="N10" s="209"/>
      <c r="O10" s="209"/>
      <c r="P10" s="209"/>
      <c r="Q10" s="210"/>
      <c r="R10" s="138"/>
      <c r="S10" s="138"/>
      <c r="T10" s="211"/>
      <c r="U10" s="211"/>
      <c r="V10" s="212"/>
      <c r="W10" s="213"/>
      <c r="X10" s="209"/>
      <c r="Y10" s="214"/>
      <c r="Z10" s="211"/>
      <c r="AA10" s="211"/>
      <c r="AB10" s="182"/>
      <c r="AC10" s="182"/>
      <c r="AD10" s="215"/>
      <c r="AE10" s="216"/>
      <c r="AF10" s="205"/>
      <c r="AH10" s="182"/>
      <c r="AI10" s="183"/>
    </row>
    <row r="11" spans="1:36" s="47" customFormat="1" ht="16.5">
      <c r="A11" s="201"/>
      <c r="B11" s="202"/>
      <c r="C11" s="203"/>
      <c r="D11" s="204"/>
      <c r="E11" s="205"/>
      <c r="F11" s="206"/>
      <c r="G11" s="204"/>
      <c r="H11" s="207"/>
      <c r="I11" s="208"/>
      <c r="J11" s="208"/>
      <c r="K11" s="207"/>
      <c r="L11" s="207"/>
      <c r="M11" s="209"/>
      <c r="N11" s="209"/>
      <c r="O11" s="209"/>
      <c r="P11" s="209"/>
      <c r="Q11" s="210"/>
      <c r="R11" s="138"/>
      <c r="S11" s="138"/>
      <c r="T11" s="211"/>
      <c r="U11" s="211"/>
      <c r="V11" s="212"/>
      <c r="W11" s="213"/>
      <c r="X11" s="209"/>
      <c r="Y11" s="214"/>
      <c r="Z11" s="41"/>
      <c r="AA11" s="211"/>
      <c r="AB11" s="182"/>
      <c r="AC11" s="182"/>
      <c r="AD11" s="215"/>
      <c r="AE11" s="216"/>
      <c r="AF11" s="205"/>
      <c r="AH11" s="182"/>
      <c r="AI11" s="183"/>
    </row>
    <row r="12" spans="1:36" s="142" customFormat="1" ht="24.95" customHeight="1">
      <c r="A12" s="1172" t="s">
        <v>388</v>
      </c>
      <c r="B12" s="1172"/>
      <c r="C12" s="1172"/>
      <c r="D12" s="1172"/>
      <c r="E12" s="1172"/>
      <c r="F12" s="1172"/>
      <c r="G12" s="1172"/>
      <c r="H12" s="1172"/>
      <c r="I12" s="1172"/>
      <c r="J12" s="520"/>
      <c r="K12" s="217"/>
      <c r="L12" s="217"/>
      <c r="M12" s="218">
        <f>M8/2</f>
        <v>60000</v>
      </c>
      <c r="N12" s="218">
        <f t="shared" ref="N12:P12" si="2">N8/2</f>
        <v>30000</v>
      </c>
      <c r="O12" s="218">
        <f t="shared" si="2"/>
        <v>6000</v>
      </c>
      <c r="P12" s="218">
        <f t="shared" si="2"/>
        <v>4000</v>
      </c>
      <c r="Q12" s="219"/>
      <c r="R12" s="219">
        <f>SUM(M12:P12)</f>
        <v>100000</v>
      </c>
      <c r="S12" s="219">
        <f>ROUND(S8/2,0)</f>
        <v>100000</v>
      </c>
      <c r="T12" s="219">
        <f t="shared" ref="T12:V12" si="3">T8/2</f>
        <v>0</v>
      </c>
      <c r="U12" s="219">
        <f t="shared" si="3"/>
        <v>0</v>
      </c>
      <c r="V12" s="219">
        <f t="shared" si="3"/>
        <v>0</v>
      </c>
      <c r="W12" s="219">
        <f>SUM(S12:V12)</f>
        <v>100000</v>
      </c>
      <c r="X12" s="401">
        <f>X8</f>
        <v>4465</v>
      </c>
      <c r="Y12" s="218">
        <f>Y8</f>
        <v>0</v>
      </c>
      <c r="Z12" s="189">
        <f ca="1">IF(J8&gt;=360,M12*5%,0)</f>
        <v>3000</v>
      </c>
      <c r="AA12" s="218"/>
      <c r="AB12" s="219">
        <f ca="1">SUM(X12:AA12)</f>
        <v>7465</v>
      </c>
      <c r="AC12" s="219">
        <f ca="1">W12-AB12</f>
        <v>92535</v>
      </c>
      <c r="AD12" s="220"/>
      <c r="AE12" s="221"/>
      <c r="AF12" s="222"/>
      <c r="AJ12" s="182"/>
    </row>
    <row r="13" spans="1:36" s="142" customFormat="1" ht="24.95" customHeight="1">
      <c r="A13" s="1173" t="s">
        <v>389</v>
      </c>
      <c r="B13" s="1173"/>
      <c r="C13" s="1173"/>
      <c r="D13" s="1173"/>
      <c r="E13" s="1173"/>
      <c r="F13" s="1173"/>
      <c r="G13" s="1173"/>
      <c r="H13" s="1173"/>
      <c r="I13" s="1173"/>
      <c r="J13" s="521"/>
      <c r="K13" s="224"/>
      <c r="L13" s="224"/>
      <c r="M13" s="225">
        <f>M8/2</f>
        <v>60000</v>
      </c>
      <c r="N13" s="225">
        <f t="shared" ref="N13:P13" si="4">N8/2</f>
        <v>30000</v>
      </c>
      <c r="O13" s="225">
        <f t="shared" si="4"/>
        <v>6000</v>
      </c>
      <c r="P13" s="225">
        <f t="shared" si="4"/>
        <v>4000</v>
      </c>
      <c r="Q13" s="226"/>
      <c r="R13" s="226">
        <f>SUM(M13:P13)</f>
        <v>100000</v>
      </c>
      <c r="S13" s="226">
        <f>ROUND(S8/2,0)</f>
        <v>100000</v>
      </c>
      <c r="T13" s="226">
        <f t="shared" ref="T13:V13" si="5">T8/2</f>
        <v>0</v>
      </c>
      <c r="U13" s="226">
        <f t="shared" si="5"/>
        <v>0</v>
      </c>
      <c r="V13" s="226">
        <f t="shared" si="5"/>
        <v>0</v>
      </c>
      <c r="W13" s="226">
        <f>SUM(S13:V13)</f>
        <v>100000</v>
      </c>
      <c r="X13" s="225">
        <v>0</v>
      </c>
      <c r="Y13" s="225"/>
      <c r="Z13" s="225"/>
      <c r="AA13" s="225"/>
      <c r="AB13" s="226">
        <f>SUM(X13:AA13)</f>
        <v>0</v>
      </c>
      <c r="AC13" s="226">
        <f>W13-AB13</f>
        <v>100000</v>
      </c>
      <c r="AD13" s="227"/>
      <c r="AE13" s="228"/>
      <c r="AF13" s="229"/>
      <c r="AH13" s="182"/>
      <c r="AI13" s="223"/>
    </row>
    <row r="14" spans="1:36" s="142" customFormat="1" ht="24.95" customHeight="1">
      <c r="A14" s="1165" t="s">
        <v>390</v>
      </c>
      <c r="B14" s="1165"/>
      <c r="C14" s="1165"/>
      <c r="D14" s="1165"/>
      <c r="E14" s="1165"/>
      <c r="F14" s="1165"/>
      <c r="G14" s="1165"/>
      <c r="H14" s="1165"/>
      <c r="I14" s="1165"/>
      <c r="J14" s="519"/>
      <c r="K14" s="230"/>
      <c r="L14" s="230"/>
      <c r="M14" s="231"/>
      <c r="N14" s="231"/>
      <c r="O14" s="231"/>
      <c r="P14" s="231"/>
      <c r="Q14" s="231"/>
      <c r="R14" s="231">
        <f t="shared" ref="R14:AB14" si="6">SUM(R12:R13)</f>
        <v>200000</v>
      </c>
      <c r="S14" s="231">
        <f t="shared" si="6"/>
        <v>200000</v>
      </c>
      <c r="T14" s="231">
        <f t="shared" si="6"/>
        <v>0</v>
      </c>
      <c r="U14" s="231">
        <f t="shared" si="6"/>
        <v>0</v>
      </c>
      <c r="V14" s="231">
        <f t="shared" si="6"/>
        <v>0</v>
      </c>
      <c r="W14" s="231">
        <f t="shared" si="6"/>
        <v>200000</v>
      </c>
      <c r="X14" s="231">
        <f t="shared" si="6"/>
        <v>4465</v>
      </c>
      <c r="Y14" s="231">
        <f t="shared" si="6"/>
        <v>0</v>
      </c>
      <c r="Z14" s="231">
        <f t="shared" ca="1" si="6"/>
        <v>3000</v>
      </c>
      <c r="AA14" s="231">
        <f t="shared" si="6"/>
        <v>0</v>
      </c>
      <c r="AB14" s="231">
        <f t="shared" ca="1" si="6"/>
        <v>7465</v>
      </c>
      <c r="AC14" s="231">
        <f ca="1">SUM(AC12:AC13)</f>
        <v>192535</v>
      </c>
      <c r="AD14" s="232"/>
      <c r="AE14" s="233"/>
      <c r="AF14" s="234"/>
      <c r="AH14" s="182"/>
      <c r="AI14" s="223"/>
    </row>
    <row r="15" spans="1:36" s="142" customFormat="1" ht="24.95" customHeight="1">
      <c r="A15" s="132"/>
      <c r="B15" s="133"/>
      <c r="C15" s="134"/>
      <c r="D15" s="135"/>
      <c r="E15" s="136"/>
      <c r="F15" s="137"/>
      <c r="G15" s="138"/>
      <c r="H15" s="138"/>
      <c r="I15" s="139"/>
      <c r="J15" s="139"/>
      <c r="K15" s="139"/>
      <c r="L15" s="139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1"/>
      <c r="AE15" s="235"/>
      <c r="AF15" s="136"/>
      <c r="AH15" s="182"/>
      <c r="AI15" s="223"/>
    </row>
    <row r="16" spans="1:36" s="130" customFormat="1" ht="20.100000000000001" customHeight="1">
      <c r="A16" s="121"/>
      <c r="B16" s="121"/>
      <c r="C16" s="122"/>
      <c r="D16" s="143"/>
      <c r="E16" s="121"/>
      <c r="F16" s="122"/>
      <c r="G16" s="124"/>
      <c r="H16" s="124"/>
      <c r="I16" s="123"/>
      <c r="J16" s="123"/>
      <c r="K16" s="236"/>
      <c r="L16" s="236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X16" s="127" t="s">
        <v>29</v>
      </c>
      <c r="Z16" s="126"/>
      <c r="AA16" s="125"/>
      <c r="AC16" s="127" t="s">
        <v>23</v>
      </c>
      <c r="AD16" s="128" t="s">
        <v>24</v>
      </c>
      <c r="AE16" s="237"/>
      <c r="AF16" s="15">
        <f ca="1">AC14-80000</f>
        <v>112535</v>
      </c>
      <c r="AH16" s="182"/>
    </row>
    <row r="17" spans="1:34" s="130" customFormat="1" ht="20.100000000000001" customHeight="1">
      <c r="A17" s="121"/>
      <c r="B17" s="121"/>
      <c r="C17" s="122"/>
      <c r="D17" s="143"/>
      <c r="E17" s="121"/>
      <c r="F17" s="122"/>
      <c r="G17" s="124"/>
      <c r="H17" s="124"/>
      <c r="I17" s="123"/>
      <c r="J17" s="123"/>
      <c r="K17" s="124"/>
      <c r="L17" s="124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4"/>
      <c r="X17" s="125"/>
      <c r="Z17" s="126"/>
      <c r="AA17" s="125"/>
      <c r="AC17" s="127" t="s">
        <v>25</v>
      </c>
      <c r="AD17" s="128" t="s">
        <v>24</v>
      </c>
      <c r="AE17" s="237"/>
      <c r="AF17" s="15">
        <v>80000</v>
      </c>
      <c r="AH17" s="182"/>
    </row>
    <row r="18" spans="1:34" s="130" customFormat="1" ht="20.100000000000001" customHeight="1" thickBot="1">
      <c r="A18" s="121"/>
      <c r="B18" s="121"/>
      <c r="C18" s="122"/>
      <c r="D18" s="143"/>
      <c r="E18" s="121"/>
      <c r="F18" s="122"/>
      <c r="G18" s="124"/>
      <c r="H18" s="124"/>
      <c r="I18" s="123"/>
      <c r="J18" s="123"/>
      <c r="K18" s="124"/>
      <c r="L18" s="124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4"/>
      <c r="X18" s="125"/>
      <c r="Z18" s="126"/>
      <c r="AA18" s="125"/>
      <c r="AB18" s="125"/>
      <c r="AC18" s="127"/>
      <c r="AD18" s="128"/>
      <c r="AE18" s="237"/>
      <c r="AF18" s="144">
        <f ca="1">SUM(AF16:AF17)</f>
        <v>192535</v>
      </c>
      <c r="AH18" s="182"/>
    </row>
    <row r="19" spans="1:34" s="130" customFormat="1" ht="20.100000000000001" customHeight="1" thickTop="1">
      <c r="A19" s="121"/>
      <c r="B19" s="121"/>
      <c r="C19" s="122"/>
      <c r="D19" s="143"/>
      <c r="E19" s="121"/>
      <c r="F19" s="122"/>
      <c r="G19" s="124"/>
      <c r="H19" s="124"/>
      <c r="I19" s="123"/>
      <c r="J19" s="123"/>
      <c r="K19" s="124"/>
      <c r="L19" s="124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4"/>
      <c r="X19" s="127"/>
      <c r="Z19" s="126"/>
      <c r="AA19" s="125"/>
      <c r="AB19" s="125"/>
      <c r="AC19" s="127"/>
      <c r="AD19" s="128"/>
      <c r="AE19" s="237"/>
      <c r="AF19" s="129"/>
      <c r="AH19" s="182"/>
    </row>
    <row r="20" spans="1:34" s="130" customFormat="1" ht="20.100000000000001" customHeight="1">
      <c r="A20" s="121"/>
      <c r="B20" s="121"/>
      <c r="C20" s="122"/>
      <c r="D20" s="143"/>
      <c r="E20" s="121"/>
      <c r="F20" s="122"/>
      <c r="G20" s="124"/>
      <c r="H20" s="124"/>
      <c r="I20" s="123"/>
      <c r="J20" s="123"/>
      <c r="K20" s="124"/>
      <c r="L20" s="124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4"/>
      <c r="X20" s="127"/>
      <c r="Z20" s="126"/>
      <c r="AA20" s="125"/>
      <c r="AB20" s="125"/>
      <c r="AC20" s="127"/>
      <c r="AD20" s="128"/>
      <c r="AE20" s="237"/>
      <c r="AF20" s="129"/>
      <c r="AH20" s="182"/>
    </row>
    <row r="21" spans="1:34" s="130" customFormat="1" ht="20.100000000000001" customHeight="1">
      <c r="A21" s="121"/>
      <c r="B21" s="121"/>
      <c r="C21" s="122"/>
      <c r="D21" s="143"/>
      <c r="E21" s="121"/>
      <c r="F21" s="122"/>
      <c r="G21" s="124"/>
      <c r="H21" s="124"/>
      <c r="I21" s="123"/>
      <c r="J21" s="123"/>
      <c r="K21" s="124"/>
      <c r="L21" s="124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4"/>
      <c r="X21" s="127"/>
      <c r="Z21" s="126"/>
      <c r="AA21" s="125"/>
      <c r="AB21" s="125"/>
      <c r="AC21" s="127"/>
      <c r="AD21" s="128"/>
      <c r="AE21" s="237"/>
      <c r="AF21" s="129"/>
      <c r="AH21" s="182"/>
    </row>
    <row r="22" spans="1:34" s="130" customFormat="1" ht="20.100000000000001" customHeight="1">
      <c r="A22" s="121"/>
      <c r="B22" s="121"/>
      <c r="C22" s="122"/>
      <c r="D22" s="143"/>
      <c r="E22" s="121"/>
      <c r="F22" s="122"/>
      <c r="G22" s="124"/>
      <c r="H22" s="124"/>
      <c r="I22" s="123"/>
      <c r="J22" s="123"/>
      <c r="K22" s="124"/>
      <c r="L22" s="124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4"/>
      <c r="X22" s="14"/>
      <c r="Y22" s="125"/>
      <c r="Z22" s="126"/>
      <c r="AA22" s="125"/>
      <c r="AB22" s="238"/>
      <c r="AC22" s="240"/>
      <c r="AD22" s="128"/>
      <c r="AE22" s="237"/>
      <c r="AF22" s="241"/>
      <c r="AH22" s="182"/>
    </row>
    <row r="23" spans="1:34" s="130" customFormat="1" ht="19.5" customHeight="1">
      <c r="A23" s="121"/>
      <c r="B23" s="121"/>
      <c r="C23" s="122"/>
      <c r="D23" s="143"/>
      <c r="E23" s="121"/>
      <c r="F23" s="122"/>
      <c r="G23" s="124"/>
      <c r="H23" s="124"/>
      <c r="I23" s="123"/>
      <c r="J23" s="123"/>
      <c r="K23" s="124"/>
      <c r="L23" s="124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4"/>
      <c r="X23" s="14"/>
      <c r="Y23" s="127"/>
      <c r="Z23" s="127"/>
      <c r="AA23" s="239"/>
      <c r="AB23" s="238"/>
      <c r="AC23" s="240"/>
      <c r="AD23" s="128"/>
      <c r="AE23" s="237"/>
      <c r="AF23" s="241"/>
      <c r="AH23" s="182"/>
    </row>
    <row r="24" spans="1:34" s="130" customFormat="1" ht="19.5" customHeight="1">
      <c r="A24" s="121"/>
      <c r="B24" s="121"/>
      <c r="C24" s="122"/>
      <c r="D24" s="143"/>
      <c r="E24" s="121"/>
      <c r="F24" s="122"/>
      <c r="G24" s="124"/>
      <c r="H24" s="124"/>
      <c r="I24" s="123"/>
      <c r="J24" s="123"/>
      <c r="K24" s="124"/>
      <c r="L24" s="124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4"/>
      <c r="X24" s="14"/>
      <c r="Y24" s="14"/>
      <c r="Z24" s="14"/>
      <c r="AA24" s="13"/>
      <c r="AB24" s="12"/>
      <c r="AC24" s="12"/>
      <c r="AE24" s="242"/>
      <c r="AF24" s="129"/>
      <c r="AH24" s="182"/>
    </row>
    <row r="25" spans="1:34" s="130" customFormat="1" ht="16.5">
      <c r="A25" s="121"/>
      <c r="B25" s="121"/>
      <c r="C25" s="122"/>
      <c r="D25" s="143"/>
      <c r="E25" s="121"/>
      <c r="F25" s="122"/>
      <c r="G25" s="124"/>
      <c r="H25" s="124"/>
      <c r="I25" s="123"/>
      <c r="J25" s="123"/>
      <c r="K25" s="124"/>
      <c r="L25" s="124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45"/>
      <c r="AE25" s="242"/>
      <c r="AF25" s="145"/>
      <c r="AH25" s="182"/>
    </row>
    <row r="26" spans="1:34" s="130" customFormat="1" ht="19.5" customHeight="1">
      <c r="A26" s="121"/>
      <c r="B26" s="121"/>
      <c r="C26" s="122"/>
      <c r="D26" s="143"/>
      <c r="E26" s="121"/>
      <c r="F26" s="122"/>
      <c r="G26" s="124"/>
      <c r="H26" s="124"/>
      <c r="I26" s="123"/>
      <c r="J26" s="123"/>
      <c r="K26" s="124"/>
      <c r="L26" s="124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45"/>
      <c r="AE26" s="242"/>
      <c r="AF26" s="145"/>
      <c r="AH26" s="182"/>
    </row>
    <row r="27" spans="1:34" s="130" customFormat="1" ht="19.5" customHeight="1">
      <c r="A27" s="121"/>
      <c r="B27" s="121"/>
      <c r="C27" s="122"/>
      <c r="D27" s="143"/>
      <c r="E27" s="121"/>
      <c r="F27" s="122"/>
      <c r="G27" s="124"/>
      <c r="H27" s="124"/>
      <c r="I27" s="123"/>
      <c r="J27" s="123"/>
      <c r="K27" s="124"/>
      <c r="L27" s="124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45"/>
      <c r="AE27" s="242"/>
      <c r="AF27" s="145"/>
      <c r="AH27" s="182"/>
    </row>
    <row r="28" spans="1:34" s="130" customFormat="1" ht="19.5" customHeight="1">
      <c r="A28" s="121"/>
      <c r="B28" s="121"/>
      <c r="C28" s="122"/>
      <c r="D28" s="143"/>
      <c r="E28" s="121"/>
      <c r="F28" s="122"/>
      <c r="G28" s="124"/>
      <c r="H28" s="124"/>
      <c r="I28" s="123"/>
      <c r="J28" s="123"/>
      <c r="K28" s="124"/>
      <c r="L28" s="124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Y28" s="146"/>
      <c r="Z28" s="123"/>
      <c r="AA28" s="123"/>
      <c r="AB28" s="123"/>
      <c r="AC28" s="123"/>
      <c r="AD28" s="145"/>
      <c r="AE28" s="242"/>
      <c r="AF28" s="123"/>
      <c r="AH28" s="182"/>
    </row>
    <row r="29" spans="1:34" s="17" customFormat="1" ht="16.5">
      <c r="B29" s="18"/>
      <c r="C29" s="18"/>
      <c r="D29" s="147"/>
      <c r="E29" s="148"/>
      <c r="F29" s="18"/>
      <c r="G29" s="18"/>
      <c r="H29" s="18"/>
      <c r="I29" s="18"/>
      <c r="J29" s="18"/>
      <c r="K29" s="18"/>
      <c r="L29" s="18"/>
      <c r="M29" s="18"/>
      <c r="N29" s="18"/>
      <c r="O29" s="18"/>
      <c r="R29" s="18"/>
      <c r="S29" s="18"/>
      <c r="T29" s="18"/>
      <c r="U29" s="18"/>
      <c r="V29" s="18"/>
      <c r="W29" s="18"/>
      <c r="AA29" s="18"/>
      <c r="AB29" s="18"/>
      <c r="AC29" s="18"/>
      <c r="AD29" s="18"/>
      <c r="AE29" s="18"/>
      <c r="AF29" s="18"/>
      <c r="AH29" s="182"/>
    </row>
    <row r="30" spans="1:34" s="130" customFormat="1" ht="19.5" customHeight="1">
      <c r="A30" s="121"/>
      <c r="B30" s="121"/>
      <c r="C30" s="122"/>
      <c r="D30" s="143"/>
      <c r="E30" s="121"/>
      <c r="F30" s="122"/>
      <c r="G30" s="124"/>
      <c r="H30" s="124"/>
      <c r="I30" s="123"/>
      <c r="J30" s="123"/>
      <c r="K30" s="124"/>
      <c r="L30" s="124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45"/>
      <c r="AE30" s="242"/>
      <c r="AF30" s="145"/>
      <c r="AH30" s="182"/>
    </row>
    <row r="31" spans="1:34" s="155" customFormat="1" ht="19.5" customHeight="1">
      <c r="A31" s="149"/>
      <c r="B31" s="149"/>
      <c r="C31" s="150"/>
      <c r="D31" s="151"/>
      <c r="E31" s="149"/>
      <c r="F31" s="150"/>
      <c r="G31" s="152"/>
      <c r="H31" s="152"/>
      <c r="I31" s="153"/>
      <c r="J31" s="153"/>
      <c r="K31" s="152"/>
      <c r="L31" s="152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23"/>
      <c r="Y31" s="153"/>
      <c r="Z31" s="153"/>
      <c r="AA31" s="153"/>
      <c r="AB31" s="153"/>
      <c r="AC31" s="153"/>
      <c r="AD31" s="154"/>
      <c r="AE31" s="243"/>
      <c r="AF31" s="154"/>
      <c r="AH31" s="197"/>
    </row>
    <row r="32" spans="1:34" ht="21" customHeight="1">
      <c r="W32" s="164"/>
      <c r="AH32" s="197"/>
    </row>
    <row r="33" spans="1:34" s="167" customFormat="1" ht="18">
      <c r="A33" s="166"/>
      <c r="B33" s="166"/>
      <c r="D33" s="168"/>
      <c r="E33" s="166"/>
      <c r="G33" s="169"/>
      <c r="H33" s="170"/>
      <c r="K33" s="170"/>
      <c r="L33" s="170"/>
      <c r="M33" s="171"/>
      <c r="N33" s="171"/>
      <c r="O33" s="171"/>
      <c r="P33" s="171"/>
      <c r="Q33" s="171"/>
      <c r="R33" s="172"/>
      <c r="S33" s="173"/>
      <c r="U33" s="166"/>
      <c r="W33" s="173"/>
      <c r="X33" s="174"/>
      <c r="Y33" s="175"/>
      <c r="Z33" s="176"/>
      <c r="AA33" s="166"/>
      <c r="AB33" s="166"/>
      <c r="AC33" s="166"/>
      <c r="AD33" s="166"/>
      <c r="AF33" s="166"/>
      <c r="AH33" s="197"/>
    </row>
    <row r="34" spans="1:34" s="167" customFormat="1" ht="18">
      <c r="A34" s="166"/>
      <c r="B34" s="166"/>
      <c r="D34" s="168"/>
      <c r="E34" s="166"/>
      <c r="H34" s="170"/>
      <c r="K34" s="169"/>
      <c r="L34" s="169"/>
      <c r="M34" s="171"/>
      <c r="N34" s="172"/>
      <c r="P34" s="171"/>
      <c r="S34" s="173"/>
      <c r="U34" s="166"/>
      <c r="W34" s="173"/>
      <c r="X34" s="174"/>
      <c r="AA34" s="166"/>
      <c r="AB34" s="166"/>
      <c r="AC34" s="166"/>
      <c r="AD34" s="166"/>
      <c r="AF34" s="166"/>
      <c r="AH34" s="197"/>
    </row>
    <row r="35" spans="1:34" s="167" customFormat="1" ht="18">
      <c r="D35" s="168"/>
      <c r="E35" s="166"/>
      <c r="H35" s="170"/>
      <c r="K35" s="170"/>
      <c r="L35" s="170"/>
      <c r="S35" s="166"/>
      <c r="T35" s="177"/>
      <c r="U35" s="178"/>
      <c r="W35" s="173"/>
      <c r="X35" s="174"/>
      <c r="AD35" s="166"/>
      <c r="AF35" s="166"/>
      <c r="AH35" s="197"/>
    </row>
    <row r="36" spans="1:34" s="167" customFormat="1" ht="18">
      <c r="D36" s="168"/>
      <c r="E36" s="166"/>
      <c r="F36" s="179"/>
      <c r="H36" s="170"/>
      <c r="K36" s="170"/>
      <c r="L36" s="170"/>
      <c r="S36" s="166"/>
      <c r="T36" s="177"/>
      <c r="U36" s="178"/>
      <c r="W36" s="173"/>
      <c r="X36" s="174"/>
      <c r="AD36" s="166"/>
      <c r="AF36" s="166"/>
    </row>
    <row r="37" spans="1:34" s="167" customFormat="1" ht="18">
      <c r="D37" s="168"/>
      <c r="E37" s="166"/>
      <c r="H37" s="170"/>
      <c r="K37" s="170"/>
      <c r="L37" s="170"/>
      <c r="S37" s="166"/>
      <c r="W37" s="173"/>
      <c r="X37" s="174"/>
      <c r="AD37" s="166"/>
      <c r="AF37" s="166"/>
    </row>
    <row r="38" spans="1:34" ht="18">
      <c r="A38" s="167"/>
      <c r="B38" s="167"/>
      <c r="C38" s="167"/>
      <c r="F38" s="167"/>
      <c r="K38" s="170"/>
      <c r="L38" s="170"/>
      <c r="M38" s="167"/>
      <c r="N38" s="167"/>
      <c r="O38" s="167"/>
      <c r="P38" s="167"/>
      <c r="S38" s="166"/>
      <c r="AB38" s="167"/>
      <c r="AC38" s="167"/>
      <c r="AD38" s="166"/>
      <c r="AE38" s="167"/>
    </row>
    <row r="55" spans="2:2" ht="20.25">
      <c r="B55" s="180"/>
    </row>
  </sheetData>
  <mergeCells count="29">
    <mergeCell ref="A1:AF1"/>
    <mergeCell ref="A2:AF2"/>
    <mergeCell ref="A3:AF3"/>
    <mergeCell ref="A5:A6"/>
    <mergeCell ref="B5:B6"/>
    <mergeCell ref="C5:C6"/>
    <mergeCell ref="D5:D6"/>
    <mergeCell ref="E5:E6"/>
    <mergeCell ref="F5:F6"/>
    <mergeCell ref="G5:G6"/>
    <mergeCell ref="AE5:AE6"/>
    <mergeCell ref="AF5:AF6"/>
    <mergeCell ref="X5:AA5"/>
    <mergeCell ref="AB5:AB6"/>
    <mergeCell ref="AC5:AC6"/>
    <mergeCell ref="AD5:AD6"/>
    <mergeCell ref="A12:I12"/>
    <mergeCell ref="A13:I13"/>
    <mergeCell ref="A14:I14"/>
    <mergeCell ref="T5:V5"/>
    <mergeCell ref="W5:W6"/>
    <mergeCell ref="S5:S6"/>
    <mergeCell ref="H5:H6"/>
    <mergeCell ref="I5:I6"/>
    <mergeCell ref="K5:K6"/>
    <mergeCell ref="M5:Q5"/>
    <mergeCell ref="R5:R6"/>
    <mergeCell ref="L5:L6"/>
    <mergeCell ref="J5:J6"/>
  </mergeCells>
  <printOptions horizontalCentered="1"/>
  <pageMargins left="0.19685039370078741" right="0" top="0.55118110236220474" bottom="0.62992125984251968" header="0.31496062992125984" footer="0.6692913385826772"/>
  <pageSetup paperSize="9" scale="52" fitToHeight="0" orientation="landscape" verticalDpi="1200" r:id="rId1"/>
  <headerFooter>
    <oddFooter xml:space="preserve">&amp;C                                                                                             &amp;R&amp;"-,Bold"&amp;14Page &amp;P of &amp;N  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theme="7" tint="0.39997558519241921"/>
  </sheetPr>
  <dimension ref="A1:AK267"/>
  <sheetViews>
    <sheetView view="pageBreakPreview" zoomScale="85" zoomScaleNormal="100" zoomScaleSheetLayoutView="85" zoomScalePageLayoutView="80" workbookViewId="0">
      <pane xSplit="4" ySplit="6" topLeftCell="U88" activePane="bottomRight" state="frozen"/>
      <selection activeCell="A85" activeCellId="1" sqref="A83:AE83 A85:AE85"/>
      <selection pane="topRight" activeCell="A85" activeCellId="1" sqref="A83:AE83 A85:AE85"/>
      <selection pane="bottomLeft" activeCell="A85" activeCellId="1" sqref="A83:AE83 A85:AE85"/>
      <selection pane="bottomRight" activeCell="AJ13" sqref="AJ13"/>
    </sheetView>
  </sheetViews>
  <sheetFormatPr defaultColWidth="9.140625" defaultRowHeight="12.75"/>
  <cols>
    <col min="1" max="1" width="5" style="156" customWidth="1"/>
    <col min="2" max="2" width="13.42578125" style="156" customWidth="1"/>
    <col min="3" max="3" width="21.7109375" style="157" customWidth="1"/>
    <col min="4" max="4" width="16.7109375" style="158" customWidth="1"/>
    <col min="5" max="5" width="16" style="156" customWidth="1"/>
    <col min="6" max="6" width="10.5703125" style="157" customWidth="1"/>
    <col min="7" max="7" width="4.28515625" style="159" customWidth="1"/>
    <col min="8" max="8" width="5.5703125" style="160" customWidth="1"/>
    <col min="9" max="9" width="5.7109375" style="157" customWidth="1"/>
    <col min="10" max="10" width="8.85546875" style="160" customWidth="1"/>
    <col min="11" max="11" width="9.42578125" style="160" customWidth="1"/>
    <col min="12" max="12" width="10.85546875" style="161" customWidth="1"/>
    <col min="13" max="13" width="11" style="161" customWidth="1"/>
    <col min="14" max="15" width="8.5703125" style="161" customWidth="1"/>
    <col min="16" max="16" width="9.140625" style="161" customWidth="1"/>
    <col min="17" max="17" width="9.7109375" style="162" customWidth="1"/>
    <col min="18" max="18" width="9.7109375" style="163" customWidth="1"/>
    <col min="19" max="19" width="7.5703125" style="157" customWidth="1"/>
    <col min="20" max="20" width="7.7109375" style="156" customWidth="1"/>
    <col min="21" max="21" width="8" style="157" customWidth="1"/>
    <col min="22" max="22" width="11.28515625" style="163" customWidth="1"/>
    <col min="23" max="23" width="7.7109375" style="165" customWidth="1"/>
    <col min="24" max="24" width="7.7109375" style="157" customWidth="1"/>
    <col min="25" max="25" width="7.85546875" style="157" customWidth="1"/>
    <col min="26" max="27" width="7.140625" style="156" customWidth="1"/>
    <col min="28" max="28" width="7.85546875" style="156" customWidth="1"/>
    <col min="29" max="29" width="11" style="156" customWidth="1"/>
    <col min="30" max="30" width="8.85546875" style="156" customWidth="1"/>
    <col min="31" max="31" width="15" style="161" bestFit="1" customWidth="1"/>
    <col min="32" max="33" width="15" style="161" customWidth="1"/>
    <col min="34" max="34" width="10.85546875" style="157" customWidth="1"/>
    <col min="35" max="35" width="13.42578125" style="157" bestFit="1" customWidth="1"/>
    <col min="36" max="36" width="9" style="157" bestFit="1" customWidth="1"/>
    <col min="37" max="37" width="23" style="325" customWidth="1"/>
    <col min="38" max="16384" width="9.140625" style="157"/>
  </cols>
  <sheetData>
    <row r="1" spans="1:37" s="26" customFormat="1" ht="25.5">
      <c r="A1" s="1157" t="s">
        <v>840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  <c r="O1" s="1157"/>
      <c r="P1" s="1157"/>
      <c r="Q1" s="1157"/>
      <c r="R1" s="1157"/>
      <c r="S1" s="1157"/>
      <c r="T1" s="1157"/>
      <c r="U1" s="1157"/>
      <c r="V1" s="1157"/>
      <c r="W1" s="1157"/>
      <c r="X1" s="1157"/>
      <c r="Y1" s="1157"/>
      <c r="Z1" s="1157"/>
      <c r="AA1" s="1157"/>
      <c r="AB1" s="1157"/>
      <c r="AC1" s="1157"/>
      <c r="AD1" s="1157"/>
      <c r="AE1" s="1157"/>
      <c r="AF1" s="784"/>
      <c r="AG1" s="784"/>
      <c r="AK1" s="316"/>
    </row>
    <row r="2" spans="1:37" s="26" customFormat="1" ht="18">
      <c r="A2" s="1158" t="s">
        <v>1</v>
      </c>
      <c r="B2" s="1158"/>
      <c r="C2" s="1158"/>
      <c r="D2" s="1158"/>
      <c r="E2" s="1158"/>
      <c r="F2" s="1158"/>
      <c r="G2" s="1158"/>
      <c r="H2" s="1158"/>
      <c r="I2" s="1158"/>
      <c r="J2" s="1158"/>
      <c r="K2" s="1158"/>
      <c r="L2" s="1158"/>
      <c r="M2" s="1158"/>
      <c r="N2" s="1158"/>
      <c r="O2" s="1158"/>
      <c r="P2" s="1158"/>
      <c r="Q2" s="1158"/>
      <c r="R2" s="1158"/>
      <c r="S2" s="1158"/>
      <c r="T2" s="1158"/>
      <c r="U2" s="1158"/>
      <c r="V2" s="1158"/>
      <c r="W2" s="1158"/>
      <c r="X2" s="1158"/>
      <c r="Y2" s="1158"/>
      <c r="Z2" s="1158"/>
      <c r="AA2" s="1158"/>
      <c r="AB2" s="1158"/>
      <c r="AC2" s="1158"/>
      <c r="AD2" s="1158"/>
      <c r="AE2" s="1158"/>
      <c r="AF2" s="785"/>
      <c r="AG2" s="785"/>
      <c r="AK2" s="316"/>
    </row>
    <row r="3" spans="1:37" s="26" customFormat="1" ht="18">
      <c r="A3" s="1158" t="s">
        <v>1831</v>
      </c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E3" s="1158"/>
      <c r="AF3" s="785"/>
      <c r="AG3" s="785"/>
      <c r="AK3" s="316"/>
    </row>
    <row r="4" spans="1:37" s="26" customFormat="1" ht="20.25">
      <c r="A4" s="27"/>
      <c r="B4" s="27"/>
      <c r="C4" s="27"/>
      <c r="D4" s="28"/>
      <c r="E4" s="27"/>
      <c r="F4" s="27"/>
      <c r="G4" s="27"/>
      <c r="H4" s="246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615" t="s">
        <v>2</v>
      </c>
      <c r="AF4" s="615"/>
      <c r="AG4" s="615"/>
      <c r="AK4" s="316"/>
    </row>
    <row r="5" spans="1:37" s="30" customFormat="1" ht="19.5" customHeight="1">
      <c r="A5" s="1159" t="s">
        <v>3</v>
      </c>
      <c r="B5" s="1177" t="s">
        <v>30</v>
      </c>
      <c r="C5" s="1178" t="s">
        <v>31</v>
      </c>
      <c r="D5" s="1160" t="s">
        <v>32</v>
      </c>
      <c r="E5" s="1160" t="s">
        <v>503</v>
      </c>
      <c r="F5" s="1160" t="s">
        <v>34</v>
      </c>
      <c r="G5" s="1162" t="s">
        <v>35</v>
      </c>
      <c r="H5" s="1162" t="s">
        <v>36</v>
      </c>
      <c r="I5" s="1162" t="s">
        <v>37</v>
      </c>
      <c r="J5" s="1162" t="s">
        <v>38</v>
      </c>
      <c r="K5" s="1147" t="s">
        <v>7</v>
      </c>
      <c r="L5" s="1163" t="s">
        <v>39</v>
      </c>
      <c r="M5" s="1163"/>
      <c r="N5" s="1163"/>
      <c r="O5" s="1163"/>
      <c r="P5" s="1163"/>
      <c r="Q5" s="1149" t="s">
        <v>7</v>
      </c>
      <c r="R5" s="1149" t="s">
        <v>8</v>
      </c>
      <c r="S5" s="1150" t="s">
        <v>9</v>
      </c>
      <c r="T5" s="1150"/>
      <c r="U5" s="1150"/>
      <c r="V5" s="1151" t="s">
        <v>40</v>
      </c>
      <c r="W5" s="1153" t="s">
        <v>10</v>
      </c>
      <c r="X5" s="1154"/>
      <c r="Y5" s="1154"/>
      <c r="Z5" s="1154"/>
      <c r="AA5" s="1155"/>
      <c r="AB5" s="1175" t="s">
        <v>11</v>
      </c>
      <c r="AC5" s="1152" t="s">
        <v>41</v>
      </c>
      <c r="AD5" s="1146" t="s">
        <v>42</v>
      </c>
      <c r="AE5" s="1174" t="s">
        <v>43</v>
      </c>
      <c r="AF5" s="799"/>
      <c r="AG5" s="799"/>
      <c r="AK5" s="317"/>
    </row>
    <row r="6" spans="1:37" s="272" customFormat="1" ht="63.75" customHeight="1">
      <c r="A6" s="1159"/>
      <c r="B6" s="1177"/>
      <c r="C6" s="1178"/>
      <c r="D6" s="1160"/>
      <c r="E6" s="1160"/>
      <c r="F6" s="1160"/>
      <c r="G6" s="1162"/>
      <c r="H6" s="1162"/>
      <c r="I6" s="1162"/>
      <c r="J6" s="1162"/>
      <c r="K6" s="1148"/>
      <c r="L6" s="1027" t="s">
        <v>13</v>
      </c>
      <c r="M6" s="1027" t="s">
        <v>14</v>
      </c>
      <c r="N6" s="1028" t="s">
        <v>15</v>
      </c>
      <c r="O6" s="1028" t="s">
        <v>16</v>
      </c>
      <c r="P6" s="1028" t="s">
        <v>17</v>
      </c>
      <c r="Q6" s="1149"/>
      <c r="R6" s="1149"/>
      <c r="S6" s="1029" t="s">
        <v>18</v>
      </c>
      <c r="T6" s="1029" t="s">
        <v>19</v>
      </c>
      <c r="U6" s="1029" t="s">
        <v>623</v>
      </c>
      <c r="V6" s="1151"/>
      <c r="W6" s="1002" t="s">
        <v>21</v>
      </c>
      <c r="X6" s="1002" t="s">
        <v>585</v>
      </c>
      <c r="Y6" s="1003" t="s">
        <v>1249</v>
      </c>
      <c r="Z6" s="1002" t="s">
        <v>536</v>
      </c>
      <c r="AA6" s="1002" t="s">
        <v>951</v>
      </c>
      <c r="AB6" s="1176"/>
      <c r="AC6" s="1152"/>
      <c r="AD6" s="1146"/>
      <c r="AE6" s="1174"/>
      <c r="AF6" s="799"/>
      <c r="AG6" s="799"/>
      <c r="AK6" s="318"/>
    </row>
    <row r="7" spans="1:37" s="47" customFormat="1" ht="19.5" customHeight="1">
      <c r="A7" s="32" t="s">
        <v>836</v>
      </c>
      <c r="B7" s="33"/>
      <c r="C7" s="34"/>
      <c r="D7" s="34"/>
      <c r="E7" s="35"/>
      <c r="F7" s="36"/>
      <c r="G7" s="37"/>
      <c r="H7" s="37"/>
      <c r="I7" s="38"/>
      <c r="J7" s="37"/>
      <c r="K7" s="37"/>
      <c r="L7" s="39"/>
      <c r="M7" s="39"/>
      <c r="N7" s="39"/>
      <c r="O7" s="39"/>
      <c r="P7" s="39"/>
      <c r="Q7" s="40"/>
      <c r="R7" s="40"/>
      <c r="S7" s="41"/>
      <c r="T7" s="41"/>
      <c r="U7" s="42"/>
      <c r="V7" s="43"/>
      <c r="W7" s="41"/>
      <c r="X7" s="44"/>
      <c r="Y7" s="41"/>
      <c r="Z7" s="41"/>
      <c r="AA7" s="41"/>
      <c r="AB7" s="45"/>
      <c r="AC7" s="45"/>
      <c r="AD7" s="46"/>
      <c r="AE7" s="616"/>
      <c r="AF7" s="796"/>
      <c r="AG7" s="796"/>
      <c r="AK7" s="319"/>
    </row>
    <row r="8" spans="1:37" s="61" customFormat="1" ht="24" customHeight="1">
      <c r="A8" s="48">
        <v>1</v>
      </c>
      <c r="B8" s="49" t="s">
        <v>45</v>
      </c>
      <c r="C8" s="329" t="str">
        <f>VLOOKUP(B8,'Salary -Dec-2024 (Full)'!$B$6:$D$383,2,0)</f>
        <v>Md. Mahfuzur Rahman Sazal</v>
      </c>
      <c r="D8" s="330" t="str">
        <f>VLOOKUP(B8,'Salary -Dec-2024 (Full)'!$B$6:$D$383,3,0)</f>
        <v>Assistant Manager</v>
      </c>
      <c r="E8" s="331" t="str">
        <f>VLOOKUP(B8,'Salary -Dec-2024 (Full)'!$B$6:$AE$383,4,0)</f>
        <v>A&amp;F</v>
      </c>
      <c r="F8" s="265">
        <f>VLOOKUP(B8,'Salary -Dec-2024 (Full)'!$B$6:$AE$383,5,0)</f>
        <v>44566</v>
      </c>
      <c r="G8" s="286">
        <f>VLOOKUP(B8,'Salary -Dec-2024 (Full)'!$B$6:$AE$286,6,0)</f>
        <v>31</v>
      </c>
      <c r="H8" s="332">
        <f>VLOOKUP(B8,'Salary -Dec-2024 (Full)'!$B$6:$AE$383,7,0)</f>
        <v>0</v>
      </c>
      <c r="I8" s="286">
        <f t="shared" ref="I8" si="0">G8-H8</f>
        <v>31</v>
      </c>
      <c r="J8" s="332">
        <f t="shared" ref="J8" si="1">Q8/G8</f>
        <v>1935.483870967742</v>
      </c>
      <c r="K8" s="94">
        <f>VLOOKUP(B8,'Salary -Dec-2024 (Full)'!$B$6:$AE$383,10,0)</f>
        <v>60000</v>
      </c>
      <c r="L8" s="58">
        <f t="shared" ref="L8" si="2">K8*60%</f>
        <v>36000</v>
      </c>
      <c r="M8" s="58">
        <f t="shared" ref="M8" si="3">K8*30%</f>
        <v>18000</v>
      </c>
      <c r="N8" s="58">
        <f t="shared" ref="N8" si="4">K8*6%</f>
        <v>3600</v>
      </c>
      <c r="O8" s="58">
        <f t="shared" ref="O8" si="5">K8*4%</f>
        <v>2400</v>
      </c>
      <c r="P8" s="333">
        <v>0</v>
      </c>
      <c r="Q8" s="334">
        <f>SUM(L8:P8)</f>
        <v>60000</v>
      </c>
      <c r="R8" s="334">
        <f>VLOOKUP(B8,'Salary -Dec-2024 (Full)'!$B$6:$AE$383,17,0)</f>
        <v>60000</v>
      </c>
      <c r="S8" s="192">
        <f>VLOOKUP(B8,'Salary -Dec-2024 (Full)'!$B$6:$AE$383,18,0)</f>
        <v>0</v>
      </c>
      <c r="T8" s="192">
        <f>VLOOKUP(B8,'Salary -Dec-2024 (Full)'!$B$6:$AE$383,19,0)</f>
        <v>0</v>
      </c>
      <c r="U8" s="337">
        <f>VLOOKUP(B8,'Salary -Dec-2024 (Full)'!$B$6:$AE$383,20,0)</f>
        <v>0</v>
      </c>
      <c r="V8" s="335">
        <f>SUM(R8:U8)</f>
        <v>60000</v>
      </c>
      <c r="W8" s="192">
        <f>VLOOKUP(B8,'Salary -Dec-2024 (Full)'!$B$6:$AE$383,22,0)</f>
        <v>417</v>
      </c>
      <c r="X8" s="192">
        <f>VLOOKUP(B8,'Salary -Dec-2024 (Full)'!$B$6:$AE$383,23,0)</f>
        <v>0</v>
      </c>
      <c r="Y8" s="337">
        <f>VLOOKUP(B8,'Salary -Dec-2024 (Full)'!$B$6:$AE$383,24,0)</f>
        <v>1800</v>
      </c>
      <c r="Z8" s="192">
        <f>VLOOKUP(B8,'Salary -Dec-2024 (Full)'!$B$6:$AE$383,25,0)</f>
        <v>0</v>
      </c>
      <c r="AA8" s="192">
        <f>VLOOKUP(B8,'Salary -Dec-2024 (Full)'!$B$6:$AE$383,26,0)</f>
        <v>0</v>
      </c>
      <c r="AB8" s="59">
        <f>SUM(W8:AA8)</f>
        <v>2217</v>
      </c>
      <c r="AC8" s="193">
        <f t="shared" ref="AC8:AC14" si="6">ROUND(V8-AB8,0)</f>
        <v>57783</v>
      </c>
      <c r="AD8" s="194" t="str">
        <f>VLOOKUP(B8,'Salary -Dec-2024 (Full)'!$B$6:$AE$383,29,0)</f>
        <v>Bank</v>
      </c>
      <c r="AE8" s="617" t="str">
        <f>VLOOKUP(B8,'Salary -Dec-2024 (Full)'!$B$6:$AE$2853,30,0)</f>
        <v>103.103.1267239</v>
      </c>
      <c r="AF8" s="800"/>
      <c r="AG8" s="800"/>
      <c r="AJ8" s="183"/>
      <c r="AK8" s="320"/>
    </row>
    <row r="9" spans="1:37" s="61" customFormat="1" ht="24" customHeight="1">
      <c r="A9" s="62">
        <v>2</v>
      </c>
      <c r="B9" s="63" t="s">
        <v>49</v>
      </c>
      <c r="C9" s="255" t="str">
        <f>VLOOKUP(B9,'Salary -Dec-2024 (Full)'!$B$6:$D$383,2,0)</f>
        <v>Md. Abdullah Al Mamun</v>
      </c>
      <c r="D9" s="278" t="str">
        <f>VLOOKUP(B9,'Salary -Dec-2024 (Full)'!$B$6:$D$383,3,0)</f>
        <v>Assistant Manager</v>
      </c>
      <c r="E9" s="256" t="str">
        <f>VLOOKUP(B9,'Salary -Dec-2024 (Full)'!$B$6:$AE$383,4,0)</f>
        <v>A&amp;F</v>
      </c>
      <c r="F9" s="265">
        <f>VLOOKUP(B9,'Salary -Dec-2024 (Full)'!$B$6:$AE$383,5,0)</f>
        <v>44713</v>
      </c>
      <c r="G9" s="257">
        <f>VLOOKUP(B9,'Salary -Dec-2024 (Full)'!$B$6:$AE$286,6,0)</f>
        <v>31</v>
      </c>
      <c r="H9" s="258">
        <f>VLOOKUP(B9,'Salary -Dec-2024 (Full)'!$B$6:$AE$383,7,0)</f>
        <v>0</v>
      </c>
      <c r="I9" s="66">
        <f t="shared" ref="I9:I13" si="7">G9-H9</f>
        <v>31</v>
      </c>
      <c r="J9" s="67">
        <f t="shared" ref="J9:J13" si="8">Q9/G9</f>
        <v>1774.1935483870968</v>
      </c>
      <c r="K9" s="68">
        <f>VLOOKUP(B9,'Salary -Dec-2024 (Full)'!$B$6:$AE$383,10,0)</f>
        <v>55000</v>
      </c>
      <c r="L9" s="68">
        <f t="shared" ref="L9:L13" si="9">K9*60%</f>
        <v>33000</v>
      </c>
      <c r="M9" s="68">
        <f t="shared" ref="M9:M13" si="10">K9*30%</f>
        <v>16500</v>
      </c>
      <c r="N9" s="68">
        <f t="shared" ref="N9:N13" si="11">K9*6%</f>
        <v>3300</v>
      </c>
      <c r="O9" s="68">
        <f t="shared" ref="O9:O13" si="12">K9*4%</f>
        <v>2200</v>
      </c>
      <c r="P9" s="69"/>
      <c r="Q9" s="70">
        <f t="shared" ref="Q9:Q14" si="13">SUM(L9:P9)</f>
        <v>55000</v>
      </c>
      <c r="R9" s="70">
        <f>VLOOKUP(B9,'Salary -Dec-2024 (Full)'!$B$6:$AE$383,17,0)</f>
        <v>55000</v>
      </c>
      <c r="S9" s="192">
        <f>VLOOKUP(B9,'Salary -Dec-2024 (Full)'!$B$6:$AE$383,18,0)</f>
        <v>0</v>
      </c>
      <c r="T9" s="192">
        <f>VLOOKUP(B9,'Salary -Dec-2024 (Full)'!$B$6:$AE$383,19,0)</f>
        <v>0</v>
      </c>
      <c r="U9" s="337">
        <f>VLOOKUP(B9,'Salary -Dec-2024 (Full)'!$B$6:$AE$383,20,0)</f>
        <v>0</v>
      </c>
      <c r="V9" s="71">
        <f>SUM(R9:U9)</f>
        <v>55000</v>
      </c>
      <c r="W9" s="192">
        <f>VLOOKUP(B9,'Salary -Dec-2024 (Full)'!$B$6:$AE$383,22,0)</f>
        <v>417</v>
      </c>
      <c r="X9" s="192">
        <f>VLOOKUP(B9,'Salary -Dec-2024 (Full)'!$B$6:$AE$383,23,0)</f>
        <v>1950</v>
      </c>
      <c r="Y9" s="337">
        <f>VLOOKUP(B9,'Salary -Dec-2024 (Full)'!$B$6:$AE$383,24,0)</f>
        <v>1650</v>
      </c>
      <c r="Z9" s="192">
        <f>VLOOKUP(B9,'Salary -Dec-2024 (Full)'!$B$6:$AE$383,25,0)</f>
        <v>0</v>
      </c>
      <c r="AA9" s="192">
        <f>VLOOKUP(B9,'Salary -Dec-2024 (Full)'!$B$6:$AE$383,26,0)</f>
        <v>0</v>
      </c>
      <c r="AB9" s="73">
        <f>SUM(W9:AA9)</f>
        <v>4017</v>
      </c>
      <c r="AC9" s="73">
        <f t="shared" si="6"/>
        <v>50983</v>
      </c>
      <c r="AD9" s="74" t="str">
        <f>VLOOKUP(B9,'Salary -Dec-2024 (Full)'!$B$6:$AE$383,29,0)</f>
        <v>Bank</v>
      </c>
      <c r="AE9" s="618" t="str">
        <f>VLOOKUP(B9,'Salary -Dec-2024 (Full)'!$B$6:$AE$2853,30,0)</f>
        <v>108.101.0402810</v>
      </c>
      <c r="AF9" s="800"/>
      <c r="AG9" s="800"/>
      <c r="AJ9" s="183"/>
      <c r="AK9" s="320"/>
    </row>
    <row r="10" spans="1:37" s="61" customFormat="1" ht="24" customHeight="1">
      <c r="A10" s="62">
        <v>3</v>
      </c>
      <c r="B10" s="63" t="s">
        <v>52</v>
      </c>
      <c r="C10" s="255" t="str">
        <f>VLOOKUP(B10,'Salary -Dec-2024 (Full)'!$B$6:$D$383,2,0)</f>
        <v>Md. Saiful Islam</v>
      </c>
      <c r="D10" s="278" t="str">
        <f>VLOOKUP(B10,'Salary -Dec-2024 (Full)'!$B$6:$D$383,3,0)</f>
        <v>Accountant</v>
      </c>
      <c r="E10" s="256" t="str">
        <f>VLOOKUP(B10,'Salary -Dec-2024 (Full)'!$B$6:$AE$383,4,0)</f>
        <v>A&amp;F</v>
      </c>
      <c r="F10" s="265">
        <f>VLOOKUP(B10,'Salary -Dec-2024 (Full)'!$B$6:$AE$383,5,0)</f>
        <v>44661</v>
      </c>
      <c r="G10" s="257">
        <f>VLOOKUP(B10,'Salary -Dec-2024 (Full)'!$B$6:$AE$286,6,0)</f>
        <v>31</v>
      </c>
      <c r="H10" s="258">
        <f>VLOOKUP(B10,'Salary -Dec-2024 (Full)'!$B$6:$AE$383,7,0)</f>
        <v>0</v>
      </c>
      <c r="I10" s="66">
        <f t="shared" si="7"/>
        <v>31</v>
      </c>
      <c r="J10" s="67">
        <f t="shared" si="8"/>
        <v>1000</v>
      </c>
      <c r="K10" s="68">
        <f>VLOOKUP(B10,'Salary -Dec-2024 (Full)'!$B$6:$AE$383,10,0)</f>
        <v>31000</v>
      </c>
      <c r="L10" s="68">
        <f t="shared" si="9"/>
        <v>18600</v>
      </c>
      <c r="M10" s="68">
        <f t="shared" si="10"/>
        <v>9300</v>
      </c>
      <c r="N10" s="68">
        <f t="shared" si="11"/>
        <v>1860</v>
      </c>
      <c r="O10" s="68">
        <f t="shared" si="12"/>
        <v>1240</v>
      </c>
      <c r="P10" s="69">
        <v>0</v>
      </c>
      <c r="Q10" s="70">
        <f t="shared" si="13"/>
        <v>31000</v>
      </c>
      <c r="R10" s="70">
        <f>VLOOKUP(B10,'Salary -Dec-2024 (Full)'!$B$6:$AE$383,17,0)</f>
        <v>31000</v>
      </c>
      <c r="S10" s="192">
        <f>VLOOKUP(B10,'Salary -Dec-2024 (Full)'!$B$6:$AE$383,18,0)</f>
        <v>0</v>
      </c>
      <c r="T10" s="192">
        <f>VLOOKUP(B10,'Salary -Dec-2024 (Full)'!$B$6:$AE$383,19,0)</f>
        <v>0</v>
      </c>
      <c r="U10" s="337">
        <f>VLOOKUP(B10,'Salary -Dec-2024 (Full)'!$B$6:$AE$383,20,0)</f>
        <v>0</v>
      </c>
      <c r="V10" s="71">
        <f>SUM(R10:U10)</f>
        <v>31000</v>
      </c>
      <c r="W10" s="192">
        <f>VLOOKUP(B10,'Salary -Dec-2024 (Full)'!$B$6:$AE$383,22,0)</f>
        <v>0</v>
      </c>
      <c r="X10" s="192">
        <f>VLOOKUP(B10,'Salary -Dec-2024 (Full)'!$B$6:$AE$383,23,0)</f>
        <v>0</v>
      </c>
      <c r="Y10" s="337">
        <f>VLOOKUP(B10,'Salary -Dec-2024 (Full)'!$B$6:$AE$383,24,0)</f>
        <v>930</v>
      </c>
      <c r="Z10" s="192">
        <f>VLOOKUP(B10,'Salary -Dec-2024 (Full)'!$B$6:$AE$383,25,0)</f>
        <v>0</v>
      </c>
      <c r="AA10" s="192">
        <f>VLOOKUP(B10,'Salary -Dec-2024 (Full)'!$B$6:$AE$383,26,0)</f>
        <v>0</v>
      </c>
      <c r="AB10" s="73">
        <f t="shared" ref="AB10:AB14" si="14">SUM(W10:AA10)</f>
        <v>930</v>
      </c>
      <c r="AC10" s="73">
        <f t="shared" si="6"/>
        <v>30070</v>
      </c>
      <c r="AD10" s="74" t="str">
        <f>VLOOKUP(B10,'Salary -Dec-2024 (Full)'!$B$6:$AE$383,29,0)</f>
        <v>Bank</v>
      </c>
      <c r="AE10" s="618" t="str">
        <f>VLOOKUP(B10,'Salary -Dec-2024 (Full)'!$B$6:$AE$2853,30,0)</f>
        <v>318.103.0001930</v>
      </c>
      <c r="AF10" s="800"/>
      <c r="AG10" s="800"/>
      <c r="AJ10" s="183"/>
      <c r="AK10" s="320"/>
    </row>
    <row r="11" spans="1:37" s="61" customFormat="1" ht="24" customHeight="1">
      <c r="A11" s="62">
        <v>4</v>
      </c>
      <c r="B11" s="63" t="s">
        <v>58</v>
      </c>
      <c r="C11" s="255" t="str">
        <f>VLOOKUP(B11,'Salary -Dec-2024 (Full)'!$B$6:$D$383,2,0)</f>
        <v>Md. Ashikur Rahman</v>
      </c>
      <c r="D11" s="278" t="str">
        <f>VLOOKUP(B11,'Salary -Dec-2024 (Full)'!$B$6:$D$383,3,0)</f>
        <v>Finance officer</v>
      </c>
      <c r="E11" s="256" t="str">
        <f>VLOOKUP(B11,'Salary -Dec-2024 (Full)'!$B$6:$AE$383,4,0)</f>
        <v>A&amp;F</v>
      </c>
      <c r="F11" s="265">
        <f>VLOOKUP(B11,'Salary -Dec-2024 (Full)'!$B$6:$AE$383,5,0)</f>
        <v>44744</v>
      </c>
      <c r="G11" s="257">
        <f>VLOOKUP(B11,'Salary -Dec-2024 (Full)'!$B$6:$AE$286,6,0)</f>
        <v>31</v>
      </c>
      <c r="H11" s="258">
        <f>VLOOKUP(B11,'Salary -Dec-2024 (Full)'!$B$6:$AE$383,7,0)</f>
        <v>0</v>
      </c>
      <c r="I11" s="66">
        <f t="shared" si="7"/>
        <v>31</v>
      </c>
      <c r="J11" s="67">
        <f t="shared" si="8"/>
        <v>1129.0322580645161</v>
      </c>
      <c r="K11" s="68">
        <f>VLOOKUP(B11,'Salary -Dec-2024 (Full)'!$B$6:$AE$383,10,0)</f>
        <v>35000</v>
      </c>
      <c r="L11" s="68">
        <f t="shared" si="9"/>
        <v>21000</v>
      </c>
      <c r="M11" s="68">
        <f t="shared" si="10"/>
        <v>10500</v>
      </c>
      <c r="N11" s="68">
        <f t="shared" si="11"/>
        <v>2100</v>
      </c>
      <c r="O11" s="68">
        <f t="shared" si="12"/>
        <v>1400</v>
      </c>
      <c r="P11" s="69"/>
      <c r="Q11" s="70">
        <f t="shared" si="13"/>
        <v>35000</v>
      </c>
      <c r="R11" s="70">
        <f>VLOOKUP(B11,'Salary -Dec-2024 (Full)'!$B$6:$AE$383,17,0)</f>
        <v>35000</v>
      </c>
      <c r="S11" s="192">
        <f>VLOOKUP(B11,'Salary -Dec-2024 (Full)'!$B$6:$AE$383,18,0)</f>
        <v>0</v>
      </c>
      <c r="T11" s="192">
        <f>VLOOKUP(B11,'Salary -Dec-2024 (Full)'!$B$6:$AE$383,19,0)</f>
        <v>0</v>
      </c>
      <c r="U11" s="337">
        <f>VLOOKUP(B11,'Salary -Dec-2024 (Full)'!$B$6:$AE$383,20,0)</f>
        <v>0</v>
      </c>
      <c r="V11" s="71">
        <f t="shared" ref="V11:V13" si="15">SUM(R11:U11)</f>
        <v>35000</v>
      </c>
      <c r="W11" s="192">
        <f>VLOOKUP(B11,'Salary -Dec-2024 (Full)'!$B$6:$AE$383,22,0)</f>
        <v>0</v>
      </c>
      <c r="X11" s="192">
        <f>VLOOKUP(B11,'Salary -Dec-2024 (Full)'!$B$6:$AE$383,23,0)</f>
        <v>1875</v>
      </c>
      <c r="Y11" s="337">
        <f>VLOOKUP(B11,'Salary -Dec-2024 (Full)'!$B$6:$AE$383,24,0)</f>
        <v>1050</v>
      </c>
      <c r="Z11" s="192">
        <f>VLOOKUP(B11,'Salary -Dec-2024 (Full)'!$B$6:$AE$383,25,0)</f>
        <v>0</v>
      </c>
      <c r="AA11" s="192">
        <f>VLOOKUP(B11,'Salary -Dec-2024 (Full)'!$B$6:$AE$383,26,0)</f>
        <v>0</v>
      </c>
      <c r="AB11" s="73">
        <f t="shared" si="14"/>
        <v>2925</v>
      </c>
      <c r="AC11" s="73">
        <f t="shared" si="6"/>
        <v>32075</v>
      </c>
      <c r="AD11" s="74" t="str">
        <f>VLOOKUP(B11,'Salary -Dec-2024 (Full)'!$B$6:$AE$383,29,0)</f>
        <v>Bank</v>
      </c>
      <c r="AE11" s="618" t="str">
        <f>VLOOKUP(B11,'Salary -Dec-2024 (Full)'!$B$6:$AE$2853,30,0)</f>
        <v>103.103.1300696</v>
      </c>
      <c r="AF11" s="800"/>
      <c r="AG11" s="800"/>
      <c r="AJ11" s="183"/>
      <c r="AK11" s="320"/>
    </row>
    <row r="12" spans="1:37" s="61" customFormat="1" ht="24" customHeight="1">
      <c r="A12" s="62">
        <v>5</v>
      </c>
      <c r="B12" s="63" t="s">
        <v>61</v>
      </c>
      <c r="C12" s="255" t="str">
        <f>VLOOKUP(B12,'Salary -Dec-2024 (Full)'!$B$6:$D$383,2,0)</f>
        <v>Nurun Nahar Nipa</v>
      </c>
      <c r="D12" s="278" t="str">
        <f>VLOOKUP(B12,'Salary -Dec-2024 (Full)'!$B$6:$D$383,3,0)</f>
        <v>Executive (F&amp;A)</v>
      </c>
      <c r="E12" s="256" t="str">
        <f>VLOOKUP(B12,'Salary -Dec-2024 (Full)'!$B$6:$AE$383,4,0)</f>
        <v>A&amp;F</v>
      </c>
      <c r="F12" s="265">
        <f>VLOOKUP(B12,'Salary -Dec-2024 (Full)'!$B$6:$AE$383,5,0)</f>
        <v>44604</v>
      </c>
      <c r="G12" s="257">
        <f>VLOOKUP(B12,'Salary -Dec-2024 (Full)'!$B$6:$AE$286,6,0)</f>
        <v>31</v>
      </c>
      <c r="H12" s="258">
        <f>VLOOKUP(B12,'Salary -Dec-2024 (Full)'!$B$6:$AE$383,7,0)</f>
        <v>0</v>
      </c>
      <c r="I12" s="66">
        <f t="shared" si="7"/>
        <v>31</v>
      </c>
      <c r="J12" s="67">
        <f t="shared" si="8"/>
        <v>967.74193548387098</v>
      </c>
      <c r="K12" s="68">
        <f>VLOOKUP(B12,'Salary -Dec-2024 (Full)'!$B$6:$AE$383,10,0)</f>
        <v>30000</v>
      </c>
      <c r="L12" s="68">
        <f t="shared" si="9"/>
        <v>18000</v>
      </c>
      <c r="M12" s="68">
        <f t="shared" si="10"/>
        <v>9000</v>
      </c>
      <c r="N12" s="68">
        <f t="shared" si="11"/>
        <v>1800</v>
      </c>
      <c r="O12" s="68">
        <f t="shared" si="12"/>
        <v>1200</v>
      </c>
      <c r="P12" s="69">
        <v>0</v>
      </c>
      <c r="Q12" s="70">
        <f t="shared" si="13"/>
        <v>30000</v>
      </c>
      <c r="R12" s="70">
        <f>VLOOKUP(B12,'Salary -Dec-2024 (Full)'!$B$6:$AE$383,17,0)</f>
        <v>30000</v>
      </c>
      <c r="S12" s="192">
        <f>VLOOKUP(B12,'Salary -Dec-2024 (Full)'!$B$6:$AE$383,18,0)</f>
        <v>0</v>
      </c>
      <c r="T12" s="192">
        <f>VLOOKUP(B12,'Salary -Dec-2024 (Full)'!$B$6:$AE$383,19,0)</f>
        <v>0</v>
      </c>
      <c r="U12" s="337">
        <f>VLOOKUP(B12,'Salary -Dec-2024 (Full)'!$B$6:$AE$383,20,0)</f>
        <v>0</v>
      </c>
      <c r="V12" s="71">
        <f t="shared" si="15"/>
        <v>30000</v>
      </c>
      <c r="W12" s="192">
        <f>VLOOKUP(B12,'Salary -Dec-2024 (Full)'!$B$6:$AE$383,22,0)</f>
        <v>0</v>
      </c>
      <c r="X12" s="192">
        <f>VLOOKUP(B12,'Salary -Dec-2024 (Full)'!$B$6:$AE$383,23,0)</f>
        <v>0</v>
      </c>
      <c r="Y12" s="337">
        <f>VLOOKUP(B12,'Salary -Dec-2024 (Full)'!$B$6:$AE$383,24,0)</f>
        <v>900</v>
      </c>
      <c r="Z12" s="192">
        <f>VLOOKUP(B12,'Salary -Dec-2024 (Full)'!$B$6:$AE$383,25,0)</f>
        <v>0</v>
      </c>
      <c r="AA12" s="192">
        <f>VLOOKUP(B12,'Salary -Dec-2024 (Full)'!$B$6:$AE$383,26,0)</f>
        <v>0</v>
      </c>
      <c r="AB12" s="73">
        <f t="shared" si="14"/>
        <v>900</v>
      </c>
      <c r="AC12" s="73">
        <f t="shared" si="6"/>
        <v>29100</v>
      </c>
      <c r="AD12" s="74" t="str">
        <f>VLOOKUP(B12,'Salary -Dec-2024 (Full)'!$B$6:$AE$383,29,0)</f>
        <v>Bank</v>
      </c>
      <c r="AE12" s="618" t="str">
        <f>VLOOKUP(B12,'Salary -Dec-2024 (Full)'!$B$6:$AE$2853,30,0)</f>
        <v>103.103.1293208</v>
      </c>
      <c r="AF12" s="800"/>
      <c r="AG12" s="800"/>
      <c r="AJ12" s="183"/>
      <c r="AK12" s="320"/>
    </row>
    <row r="13" spans="1:37" s="61" customFormat="1" ht="24" customHeight="1">
      <c r="A13" s="62">
        <v>6</v>
      </c>
      <c r="B13" s="63" t="s">
        <v>64</v>
      </c>
      <c r="C13" s="255" t="str">
        <f>VLOOKUP(B13,'Salary -Dec-2024 (Full)'!$B$6:$D$383,2,0)</f>
        <v>Asiful Islam</v>
      </c>
      <c r="D13" s="278" t="str">
        <f>VLOOKUP(B13,'Salary -Dec-2024 (Full)'!$B$6:$D$383,3,0)</f>
        <v>Manager</v>
      </c>
      <c r="E13" s="256" t="str">
        <f>VLOOKUP(B13,'Salary -Dec-2024 (Full)'!$B$6:$AE$383,4,0)</f>
        <v>A&amp;F</v>
      </c>
      <c r="F13" s="265">
        <f>VLOOKUP(B13,'Salary -Dec-2024 (Full)'!$B$6:$AE$383,5,0)</f>
        <v>44815</v>
      </c>
      <c r="G13" s="257">
        <f>VLOOKUP(B13,'Salary -Dec-2024 (Full)'!$B$6:$AE$286,6,0)</f>
        <v>31</v>
      </c>
      <c r="H13" s="258">
        <f>VLOOKUP(B13,'Salary -Dec-2024 (Full)'!$B$6:$AE$383,7,0)</f>
        <v>0</v>
      </c>
      <c r="I13" s="66">
        <f t="shared" si="7"/>
        <v>31</v>
      </c>
      <c r="J13" s="67">
        <f t="shared" si="8"/>
        <v>2741.9354838709678</v>
      </c>
      <c r="K13" s="68">
        <f>VLOOKUP(B13,'Salary -Dec-2024 (Full)'!$B$6:$AE$383,10,0)</f>
        <v>85000</v>
      </c>
      <c r="L13" s="68">
        <f t="shared" si="9"/>
        <v>51000</v>
      </c>
      <c r="M13" s="68">
        <f t="shared" si="10"/>
        <v>25500</v>
      </c>
      <c r="N13" s="68">
        <f t="shared" si="11"/>
        <v>5100</v>
      </c>
      <c r="O13" s="68">
        <f t="shared" si="12"/>
        <v>3400</v>
      </c>
      <c r="P13" s="69"/>
      <c r="Q13" s="70">
        <f t="shared" si="13"/>
        <v>85000</v>
      </c>
      <c r="R13" s="70">
        <f>VLOOKUP(B13,'Salary -Dec-2024 (Full)'!$B$6:$AE$383,17,0)</f>
        <v>85000</v>
      </c>
      <c r="S13" s="192">
        <f>VLOOKUP(B13,'Salary -Dec-2024 (Full)'!$B$6:$AE$383,18,0)</f>
        <v>0</v>
      </c>
      <c r="T13" s="192">
        <f>VLOOKUP(B13,'Salary -Dec-2024 (Full)'!$B$6:$AE$383,19,0)</f>
        <v>0</v>
      </c>
      <c r="U13" s="337">
        <f>VLOOKUP(B13,'Salary -Dec-2024 (Full)'!$B$6:$AE$383,20,0)</f>
        <v>0</v>
      </c>
      <c r="V13" s="71">
        <f t="shared" si="15"/>
        <v>85000</v>
      </c>
      <c r="W13" s="192">
        <f>VLOOKUP(B13,'Salary -Dec-2024 (Full)'!$B$6:$AE$383,22,0)</f>
        <v>1030</v>
      </c>
      <c r="X13" s="192">
        <f>VLOOKUP(B13,'Salary -Dec-2024 (Full)'!$B$6:$AE$383,23,0)</f>
        <v>1875</v>
      </c>
      <c r="Y13" s="337">
        <f>VLOOKUP(B13,'Salary -Dec-2024 (Full)'!$B$6:$AE$383,24,0)</f>
        <v>2550</v>
      </c>
      <c r="Z13" s="192">
        <f>VLOOKUP(B13,'Salary -Dec-2024 (Full)'!$B$6:$AE$383,25,0)</f>
        <v>0</v>
      </c>
      <c r="AA13" s="192">
        <f>VLOOKUP(B13,'Salary -Dec-2024 (Full)'!$B$6:$AE$383,26,0)</f>
        <v>0</v>
      </c>
      <c r="AB13" s="73">
        <f t="shared" si="14"/>
        <v>5455</v>
      </c>
      <c r="AC13" s="73">
        <f t="shared" si="6"/>
        <v>79545</v>
      </c>
      <c r="AD13" s="74" t="str">
        <f>VLOOKUP(B13,'Salary -Dec-2024 (Full)'!$B$6:$AE$383,29,0)</f>
        <v>Bank</v>
      </c>
      <c r="AE13" s="618" t="str">
        <f>VLOOKUP(B13,'Salary -Dec-2024 (Full)'!$B$6:$AE$2853,30,0)</f>
        <v>101.103.1113437</v>
      </c>
      <c r="AF13" s="800"/>
      <c r="AG13" s="800"/>
      <c r="AJ13" s="183"/>
      <c r="AK13" s="320"/>
    </row>
    <row r="14" spans="1:37" s="61" customFormat="1" ht="24" customHeight="1">
      <c r="A14" s="62">
        <v>7</v>
      </c>
      <c r="B14" s="63" t="s">
        <v>858</v>
      </c>
      <c r="C14" s="255" t="str">
        <f>VLOOKUP(B14,'Salary -Dec-2024 (Full)'!$B$6:$D$383,2,0)</f>
        <v>Mohammad Nawshad Ali</v>
      </c>
      <c r="D14" s="278" t="str">
        <f>VLOOKUP(B14,'Salary -Dec-2024 (Full)'!$B$6:$D$383,3,0)</f>
        <v>Accounts Officer</v>
      </c>
      <c r="E14" s="256" t="str">
        <f>VLOOKUP(B14,'Salary -Dec-2024 (Full)'!$B$6:$AE$383,4,0)</f>
        <v>F&amp;A</v>
      </c>
      <c r="F14" s="265">
        <f>VLOOKUP(B14,'Salary -Dec-2024 (Full)'!$B$6:$AE$383,5,0)</f>
        <v>45154</v>
      </c>
      <c r="G14" s="257">
        <f>VLOOKUP(B14,'Salary -Dec-2024 (Full)'!$B$6:$AE$286,6,0)</f>
        <v>31</v>
      </c>
      <c r="H14" s="258">
        <f>VLOOKUP(B14,'Salary -Dec-2024 (Full)'!$B$6:$AE$383,7,0)</f>
        <v>0</v>
      </c>
      <c r="I14" s="66">
        <f>G14-H14</f>
        <v>31</v>
      </c>
      <c r="J14" s="67">
        <f t="shared" ref="J14" si="16">Q14/G14</f>
        <v>967.74193548387098</v>
      </c>
      <c r="K14" s="68">
        <f>VLOOKUP(B14,'Salary -Dec-2024 (Full)'!$B$6:$AE$383,10,0)</f>
        <v>30000</v>
      </c>
      <c r="L14" s="68">
        <f t="shared" ref="L14" si="17">K14*60%</f>
        <v>18000</v>
      </c>
      <c r="M14" s="68">
        <f t="shared" ref="M14" si="18">K14*30%</f>
        <v>9000</v>
      </c>
      <c r="N14" s="68">
        <f t="shared" ref="N14" si="19">K14*6%</f>
        <v>1800</v>
      </c>
      <c r="O14" s="68">
        <f t="shared" ref="O14" si="20">K14*4%</f>
        <v>1200</v>
      </c>
      <c r="P14" s="69"/>
      <c r="Q14" s="70">
        <f t="shared" si="13"/>
        <v>30000</v>
      </c>
      <c r="R14" s="70">
        <f>VLOOKUP(B14,'Salary -Dec-2024 (Full)'!$B$6:$AE$383,17,0)</f>
        <v>30000</v>
      </c>
      <c r="S14" s="192">
        <f>VLOOKUP(B14,'Salary -Dec-2024 (Full)'!$B$6:$AE$383,18,0)</f>
        <v>0</v>
      </c>
      <c r="T14" s="192">
        <f>VLOOKUP(B14,'Salary -Dec-2024 (Full)'!$B$6:$AE$383,19,0)</f>
        <v>0</v>
      </c>
      <c r="U14" s="337">
        <f>VLOOKUP(B14,'Salary -Dec-2024 (Full)'!$B$6:$AE$383,20,0)</f>
        <v>0</v>
      </c>
      <c r="V14" s="71">
        <f t="shared" ref="V14" si="21">SUM(R14:U14)</f>
        <v>30000</v>
      </c>
      <c r="W14" s="192">
        <f>VLOOKUP(B14,'Salary -Dec-2024 (Full)'!$B$6:$AE$383,22,0)</f>
        <v>0</v>
      </c>
      <c r="X14" s="192">
        <f>VLOOKUP(B14,'Salary -Dec-2024 (Full)'!$B$6:$AE$383,23,0)</f>
        <v>0</v>
      </c>
      <c r="Y14" s="337">
        <f>VLOOKUP(B14,'Salary -Dec-2024 (Full)'!$B$6:$AE$383,24,0)</f>
        <v>900</v>
      </c>
      <c r="Z14" s="192">
        <f>VLOOKUP(B14,'Salary -Dec-2024 (Full)'!$B$6:$AE$383,25,0)</f>
        <v>0</v>
      </c>
      <c r="AA14" s="192">
        <f>VLOOKUP(B14,'Salary -Dec-2024 (Full)'!$B$6:$AE$383,26,0)</f>
        <v>0</v>
      </c>
      <c r="AB14" s="73">
        <f t="shared" si="14"/>
        <v>900</v>
      </c>
      <c r="AC14" s="73">
        <f t="shared" si="6"/>
        <v>29100</v>
      </c>
      <c r="AD14" s="74" t="str">
        <f>VLOOKUP(B14,'Salary -Dec-2024 (Full)'!$B$6:$AE$383,29,0)</f>
        <v>Bank</v>
      </c>
      <c r="AE14" s="618" t="str">
        <f>VLOOKUP(B14,'Salary -Dec-2024 (Full)'!$B$6:$AE$2853,30,0)</f>
        <v>103.103.1367217</v>
      </c>
      <c r="AF14" s="800"/>
      <c r="AG14" s="800"/>
      <c r="AJ14" s="183"/>
      <c r="AK14" s="320"/>
    </row>
    <row r="15" spans="1:37" s="30" customFormat="1" ht="17.25" customHeight="1">
      <c r="A15" s="1031" t="s">
        <v>67</v>
      </c>
      <c r="B15" s="1032"/>
      <c r="C15" s="1033"/>
      <c r="D15" s="1034"/>
      <c r="E15" s="1040"/>
      <c r="F15" s="1036"/>
      <c r="G15" s="1041"/>
      <c r="H15" s="1041"/>
      <c r="I15" s="1041"/>
      <c r="J15" s="1041"/>
      <c r="K15" s="1037">
        <f>SUM(K8:K14)</f>
        <v>326000</v>
      </c>
      <c r="L15" s="1037">
        <f t="shared" ref="L15:AC15" si="22">SUM(L8:L14)</f>
        <v>195600</v>
      </c>
      <c r="M15" s="1037">
        <f t="shared" si="22"/>
        <v>97800</v>
      </c>
      <c r="N15" s="1037">
        <f t="shared" si="22"/>
        <v>19560</v>
      </c>
      <c r="O15" s="1037">
        <f t="shared" si="22"/>
        <v>13040</v>
      </c>
      <c r="P15" s="1037">
        <f t="shared" si="22"/>
        <v>0</v>
      </c>
      <c r="Q15" s="1037">
        <f t="shared" si="22"/>
        <v>326000</v>
      </c>
      <c r="R15" s="1037">
        <f t="shared" si="22"/>
        <v>326000</v>
      </c>
      <c r="S15" s="1037">
        <f t="shared" si="22"/>
        <v>0</v>
      </c>
      <c r="T15" s="1037">
        <f t="shared" si="22"/>
        <v>0</v>
      </c>
      <c r="U15" s="1037">
        <f t="shared" si="22"/>
        <v>0</v>
      </c>
      <c r="V15" s="1037">
        <f t="shared" si="22"/>
        <v>326000</v>
      </c>
      <c r="W15" s="1037">
        <f t="shared" si="22"/>
        <v>1864</v>
      </c>
      <c r="X15" s="1037">
        <f t="shared" si="22"/>
        <v>5700</v>
      </c>
      <c r="Y15" s="1037">
        <f t="shared" si="22"/>
        <v>9780</v>
      </c>
      <c r="Z15" s="1037">
        <f t="shared" si="22"/>
        <v>0</v>
      </c>
      <c r="AA15" s="1037">
        <f t="shared" si="22"/>
        <v>0</v>
      </c>
      <c r="AB15" s="1037">
        <f t="shared" si="22"/>
        <v>17344</v>
      </c>
      <c r="AC15" s="1037">
        <f t="shared" si="22"/>
        <v>308656</v>
      </c>
      <c r="AD15" s="1038"/>
      <c r="AE15" s="1042"/>
      <c r="AF15" s="801"/>
      <c r="AG15" s="801"/>
      <c r="AH15" s="61"/>
      <c r="AI15" s="61"/>
      <c r="AJ15" s="183"/>
      <c r="AK15" s="320"/>
    </row>
    <row r="16" spans="1:37" s="47" customFormat="1" ht="20.25" customHeight="1">
      <c r="A16" s="347" t="s">
        <v>27</v>
      </c>
      <c r="B16" s="268"/>
      <c r="C16" s="268"/>
      <c r="D16" s="348"/>
      <c r="E16" s="268"/>
      <c r="F16" s="268"/>
      <c r="G16" s="268"/>
      <c r="H16" s="267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268"/>
      <c r="AD16" s="268"/>
      <c r="AE16" s="619"/>
      <c r="AF16" s="802"/>
      <c r="AG16" s="802"/>
      <c r="AH16" s="61"/>
      <c r="AI16" s="61"/>
      <c r="AJ16" s="183"/>
      <c r="AK16" s="320"/>
    </row>
    <row r="17" spans="1:37" s="61" customFormat="1" ht="24" customHeight="1">
      <c r="A17" s="403">
        <v>1</v>
      </c>
      <c r="B17" s="404" t="s">
        <v>68</v>
      </c>
      <c r="C17" s="341" t="str">
        <f>VLOOKUP(B17,'Salary -Dec-2024 (Full)'!$B$6:$D$383,2,0)</f>
        <v>Md. Kawsaruzzaman</v>
      </c>
      <c r="D17" s="342" t="str">
        <f>VLOOKUP(B17,'Salary -Dec-2024 (Full)'!$B$6:$D$383,3,0)</f>
        <v>Deputy Manager</v>
      </c>
      <c r="E17" s="343" t="str">
        <f>VLOOKUP(B17,'Salary -Dec-2024 (Full)'!$B$6:$AE$383,4,0)</f>
        <v>HR &amp; Admin</v>
      </c>
      <c r="F17" s="266">
        <f>VLOOKUP(B17,'Salary -Dec-2024 (Full)'!$B$6:$AE$383,5,0)</f>
        <v>44580</v>
      </c>
      <c r="G17" s="257">
        <f>VLOOKUP(B17,'Salary -Dec-2024 (Full)'!$B$6:$AE$286,6,0)</f>
        <v>31</v>
      </c>
      <c r="H17" s="258">
        <f>VLOOKUP(B17,'Salary -Dec-2024 (Full)'!$B$6:$AE$383,7,0)</f>
        <v>0</v>
      </c>
      <c r="I17" s="257">
        <f t="shared" ref="I17" si="23">G17-H17</f>
        <v>31</v>
      </c>
      <c r="J17" s="258">
        <f t="shared" ref="J17" si="24">Q17/G17</f>
        <v>1935.483870967742</v>
      </c>
      <c r="K17" s="380">
        <f>VLOOKUP(B17,'Salary -Dec-2024 (Full)'!$B$6:$AE$383,10,0)</f>
        <v>60000</v>
      </c>
      <c r="L17" s="192">
        <f t="shared" ref="L17" si="25">K17*60%</f>
        <v>36000</v>
      </c>
      <c r="M17" s="192">
        <f t="shared" ref="M17" si="26">K17*30%</f>
        <v>18000</v>
      </c>
      <c r="N17" s="192">
        <f t="shared" ref="N17" si="27">K17*6%</f>
        <v>3600</v>
      </c>
      <c r="O17" s="192">
        <f t="shared" ref="O17" si="28">K17*4%</f>
        <v>2400</v>
      </c>
      <c r="P17" s="344">
        <v>0</v>
      </c>
      <c r="Q17" s="345">
        <f>SUM(L17:P17)</f>
        <v>60000</v>
      </c>
      <c r="R17" s="334">
        <f>VLOOKUP(B17,'Salary -Dec-2024 (Full)'!$B$6:$AE$383,17,0)</f>
        <v>60000</v>
      </c>
      <c r="S17" s="192">
        <f>VLOOKUP(B17,'Salary -Dec-2024 (Full)'!$B$6:$AE$383,18,0)</f>
        <v>0</v>
      </c>
      <c r="T17" s="192">
        <f>VLOOKUP(B17,'Salary -Dec-2024 (Full)'!$B$6:$AE$383,19,0)</f>
        <v>0</v>
      </c>
      <c r="U17" s="337">
        <f>VLOOKUP(B17,'Salary -Dec-2024 (Full)'!$B$6:$AE$383,20,0)</f>
        <v>0</v>
      </c>
      <c r="V17" s="338">
        <f>SUM(R17:U17)</f>
        <v>60000</v>
      </c>
      <c r="W17" s="192">
        <f>VLOOKUP(B17,'Salary -Dec-2024 (Full)'!$B$6:$AE$383,22,0)</f>
        <v>417</v>
      </c>
      <c r="X17" s="192">
        <f>VLOOKUP(B17,'Salary -Dec-2024 (Full)'!$B$6:$AE$383,23,0)</f>
        <v>0</v>
      </c>
      <c r="Y17" s="337">
        <f>VLOOKUP(B17,'Salary -Dec-2024 (Full)'!$B$6:$AE$383,24,0)</f>
        <v>1800</v>
      </c>
      <c r="Z17" s="192">
        <f>VLOOKUP(B17,'Salary -Dec-2024 (Full)'!$B$6:$AE$383,25,0)</f>
        <v>0</v>
      </c>
      <c r="AA17" s="192">
        <f>VLOOKUP(B17,'Salary -Dec-2024 (Full)'!$B$6:$AE$383,26,0)</f>
        <v>0</v>
      </c>
      <c r="AB17" s="73">
        <f t="shared" ref="AB17" si="29">SUM(W17:AA17)</f>
        <v>2217</v>
      </c>
      <c r="AC17" s="193">
        <f t="shared" ref="AC17:AC21" si="30">ROUND(V17-AB17,0)</f>
        <v>57783</v>
      </c>
      <c r="AD17" s="194" t="str">
        <f>VLOOKUP(B17,'Salary -Dec-2024 (Full)'!$B$6:$AE$383,29,0)</f>
        <v>Bank</v>
      </c>
      <c r="AE17" s="617" t="str">
        <f>VLOOKUP(B17,'Salary -Dec-2024 (Full)'!$B$6:$AE$2853,30,0)</f>
        <v>103.103.1267244</v>
      </c>
      <c r="AF17" s="800"/>
      <c r="AG17" s="800"/>
      <c r="AJ17" s="183"/>
      <c r="AK17" s="320"/>
    </row>
    <row r="18" spans="1:37" s="61" customFormat="1" ht="24" customHeight="1">
      <c r="A18" s="62">
        <v>2</v>
      </c>
      <c r="B18" s="63" t="s">
        <v>75</v>
      </c>
      <c r="C18" s="255" t="str">
        <f>VLOOKUP(B18,'Salary -Dec-2024 (Full)'!$B$6:$D$383,2,0)</f>
        <v>Md. Mehedi Hasan</v>
      </c>
      <c r="D18" s="278" t="str">
        <f>VLOOKUP(B18,'Salary -Dec-2024 (Full)'!$B$6:$D$383,3,0)</f>
        <v>Office Assistant</v>
      </c>
      <c r="E18" s="256" t="str">
        <f>VLOOKUP(B18,'Salary -Dec-2024 (Full)'!$B$6:$AE$383,4,0)</f>
        <v>Admin</v>
      </c>
      <c r="F18" s="265">
        <f>VLOOKUP(B18,'Salary -Dec-2024 (Full)'!$B$6:$AE$383,5,0)</f>
        <v>44634</v>
      </c>
      <c r="G18" s="257">
        <f>VLOOKUP(B18,'Salary -Dec-2024 (Full)'!$B$6:$AE$286,6,0)</f>
        <v>31</v>
      </c>
      <c r="H18" s="258">
        <f>VLOOKUP(B18,'Salary -Dec-2024 (Full)'!$B$6:$AE$383,7,0)</f>
        <v>0</v>
      </c>
      <c r="I18" s="66">
        <f t="shared" ref="I18:I21" si="31">G18-H18</f>
        <v>31</v>
      </c>
      <c r="J18" s="67">
        <f t="shared" ref="J18:J20" si="32">Q18/G18</f>
        <v>629.0322580645161</v>
      </c>
      <c r="K18" s="68">
        <f>VLOOKUP(B18,'Salary -Dec-2024 (Full)'!$B$6:$AE$383,10,0)</f>
        <v>19500</v>
      </c>
      <c r="L18" s="68">
        <f t="shared" ref="L18:L21" si="33">K18*60%</f>
        <v>11700</v>
      </c>
      <c r="M18" s="68">
        <f t="shared" ref="M18:M21" si="34">K18*30%</f>
        <v>5850</v>
      </c>
      <c r="N18" s="68">
        <f t="shared" ref="N18:N21" si="35">K18*6%</f>
        <v>1170</v>
      </c>
      <c r="O18" s="68">
        <f t="shared" ref="O18:O21" si="36">K18*4%</f>
        <v>780</v>
      </c>
      <c r="P18" s="69">
        <v>0</v>
      </c>
      <c r="Q18" s="70">
        <f>SUM(L18:P18)</f>
        <v>19500</v>
      </c>
      <c r="R18" s="70">
        <f>VLOOKUP(B18,'Salary -Dec-2024 (Full)'!$B$6:$AE$383,17,0)</f>
        <v>19500</v>
      </c>
      <c r="S18" s="192">
        <f>VLOOKUP(B18,'Salary -Dec-2024 (Full)'!$B$6:$AE$383,18,0)</f>
        <v>0</v>
      </c>
      <c r="T18" s="192">
        <f>VLOOKUP(B18,'Salary -Dec-2024 (Full)'!$B$6:$AE$383,19,0)</f>
        <v>3000</v>
      </c>
      <c r="U18" s="337">
        <f>VLOOKUP(B18,'Salary -Dec-2024 (Full)'!$B$6:$AE$383,20,0)</f>
        <v>0</v>
      </c>
      <c r="V18" s="71">
        <f>SUM(R18:U18)</f>
        <v>22500</v>
      </c>
      <c r="W18" s="192">
        <f>VLOOKUP(B18,'Salary -Dec-2024 (Full)'!$B$6:$AE$383,22,0)</f>
        <v>0</v>
      </c>
      <c r="X18" s="192">
        <f>VLOOKUP(B18,'Salary -Dec-2024 (Full)'!$B$6:$AE$383,23,0)</f>
        <v>0</v>
      </c>
      <c r="Y18" s="337">
        <f>VLOOKUP(B18,'Salary -Dec-2024 (Full)'!$B$6:$AE$383,24,0)</f>
        <v>585</v>
      </c>
      <c r="Z18" s="192">
        <f>VLOOKUP(B18,'Salary -Dec-2024 (Full)'!$B$6:$AE$383,25,0)</f>
        <v>0</v>
      </c>
      <c r="AA18" s="192">
        <v>10000</v>
      </c>
      <c r="AB18" s="73">
        <f t="shared" ref="AB18:AB21" si="37">SUM(W18:AA18)</f>
        <v>10585</v>
      </c>
      <c r="AC18" s="73">
        <f t="shared" si="30"/>
        <v>11915</v>
      </c>
      <c r="AD18" s="74" t="str">
        <f>VLOOKUP(B18,'Salary -Dec-2024 (Full)'!$B$6:$AE$383,29,0)</f>
        <v>Bank</v>
      </c>
      <c r="AE18" s="618" t="str">
        <f>VLOOKUP(B18,'Salary -Dec-2024 (Full)'!$B$6:$AE$2853,30,0)</f>
        <v>103.103.1298342</v>
      </c>
      <c r="AF18" s="800"/>
      <c r="AG18" s="800"/>
      <c r="AJ18" s="183"/>
      <c r="AK18" s="320"/>
    </row>
    <row r="19" spans="1:37" s="61" customFormat="1" ht="24" customHeight="1">
      <c r="A19" s="62">
        <v>3</v>
      </c>
      <c r="B19" s="63" t="s">
        <v>78</v>
      </c>
      <c r="C19" s="255" t="str">
        <f>VLOOKUP(B19,'Salary -Dec-2024 (Full)'!$B$6:$D$383,2,0)</f>
        <v>Md. Sah Alam</v>
      </c>
      <c r="D19" s="278" t="str">
        <f>VLOOKUP(B19,'Salary -Dec-2024 (Full)'!$B$6:$D$383,3,0)</f>
        <v>Office Assistant</v>
      </c>
      <c r="E19" s="256" t="str">
        <f>VLOOKUP(B19,'Salary -Dec-2024 (Full)'!$B$6:$AE$383,4,0)</f>
        <v>Admin</v>
      </c>
      <c r="F19" s="265">
        <f>VLOOKUP(B19,'Salary -Dec-2024 (Full)'!$B$6:$AE$383,5,0)</f>
        <v>44675</v>
      </c>
      <c r="G19" s="257">
        <f>VLOOKUP(B19,'Salary -Dec-2024 (Full)'!$B$6:$AE$286,6,0)</f>
        <v>31</v>
      </c>
      <c r="H19" s="258">
        <f>VLOOKUP(B19,'Salary -Dec-2024 (Full)'!$B$6:$AE$383,7,0)</f>
        <v>0</v>
      </c>
      <c r="I19" s="66">
        <f t="shared" si="31"/>
        <v>31</v>
      </c>
      <c r="J19" s="67">
        <f t="shared" si="32"/>
        <v>580.64516129032256</v>
      </c>
      <c r="K19" s="68">
        <f>VLOOKUP(B19,'Salary -Dec-2024 (Full)'!$B$6:$AE$383,10,0)</f>
        <v>18000</v>
      </c>
      <c r="L19" s="68">
        <f t="shared" si="33"/>
        <v>10800</v>
      </c>
      <c r="M19" s="68">
        <f t="shared" si="34"/>
        <v>5400</v>
      </c>
      <c r="N19" s="68">
        <f t="shared" si="35"/>
        <v>1080</v>
      </c>
      <c r="O19" s="68">
        <f t="shared" si="36"/>
        <v>720</v>
      </c>
      <c r="P19" s="69">
        <v>0</v>
      </c>
      <c r="Q19" s="70">
        <f>SUM(L19:P19)</f>
        <v>18000</v>
      </c>
      <c r="R19" s="70">
        <f>VLOOKUP(B19,'Salary -Dec-2024 (Full)'!$B$6:$AE$383,17,0)</f>
        <v>18000</v>
      </c>
      <c r="S19" s="192">
        <f>VLOOKUP(B19,'Salary -Dec-2024 (Full)'!$B$6:$AE$383,18,0)</f>
        <v>0</v>
      </c>
      <c r="T19" s="192">
        <f>VLOOKUP(B19,'Salary -Dec-2024 (Full)'!$B$6:$AE$383,19,0)</f>
        <v>0</v>
      </c>
      <c r="U19" s="337">
        <f>VLOOKUP(B19,'Salary -Dec-2024 (Full)'!$B$6:$AE$383,20,0)</f>
        <v>0</v>
      </c>
      <c r="V19" s="71">
        <f>SUM(R19:U19)</f>
        <v>18000</v>
      </c>
      <c r="W19" s="192">
        <f>VLOOKUP(B19,'Salary -Dec-2024 (Full)'!$B$6:$AE$383,22,0)</f>
        <v>0</v>
      </c>
      <c r="X19" s="192">
        <f>VLOOKUP(B19,'Salary -Dec-2024 (Full)'!$B$6:$AE$383,23,0)</f>
        <v>0</v>
      </c>
      <c r="Y19" s="337">
        <f>VLOOKUP(B19,'Salary -Dec-2024 (Full)'!$B$6:$AE$383,24,0)</f>
        <v>540</v>
      </c>
      <c r="Z19" s="192">
        <f>VLOOKUP(B19,'Salary -Dec-2024 (Full)'!$B$6:$AE$383,25,0)</f>
        <v>0</v>
      </c>
      <c r="AA19" s="192">
        <f>VLOOKUP(B19,'Salary -Dec-2024 (Full)'!$B$6:$AE$383,26,0)</f>
        <v>0</v>
      </c>
      <c r="AB19" s="73">
        <f t="shared" si="37"/>
        <v>540</v>
      </c>
      <c r="AC19" s="73">
        <f t="shared" si="30"/>
        <v>17460</v>
      </c>
      <c r="AD19" s="74" t="str">
        <f>VLOOKUP(B19,'Salary -Dec-2024 (Full)'!$B$6:$AE$383,29,0)</f>
        <v>Bank</v>
      </c>
      <c r="AE19" s="618" t="str">
        <f>VLOOKUP(B19,'Salary -Dec-2024 (Full)'!$B$6:$AE$2853,30,0)</f>
        <v>318.103.0001903</v>
      </c>
      <c r="AF19" s="800"/>
      <c r="AG19" s="800"/>
      <c r="AJ19" s="183"/>
      <c r="AK19" s="320"/>
    </row>
    <row r="20" spans="1:37" s="61" customFormat="1" ht="24" customHeight="1">
      <c r="A20" s="62">
        <v>4</v>
      </c>
      <c r="B20" s="63" t="s">
        <v>84</v>
      </c>
      <c r="C20" s="255" t="str">
        <f>VLOOKUP(B20,'Salary -Dec-2024 (Full)'!$B$6:$D$383,2,0)</f>
        <v>Md. Robiul Alom Rahin</v>
      </c>
      <c r="D20" s="278" t="str">
        <f>VLOOKUP(B20,'Salary -Dec-2024 (Full)'!$B$6:$D$383,3,0)</f>
        <v>Office Assistant</v>
      </c>
      <c r="E20" s="256" t="str">
        <f>VLOOKUP(B20,'Salary -Dec-2024 (Full)'!$B$6:$AE$383,4,0)</f>
        <v>Admin</v>
      </c>
      <c r="F20" s="265">
        <f>VLOOKUP(B20,'Salary -Dec-2024 (Full)'!$B$6:$AE$383,5,0)</f>
        <v>44593</v>
      </c>
      <c r="G20" s="257">
        <f>VLOOKUP(B20,'Salary -Dec-2024 (Full)'!$B$6:$AE$286,6,0)</f>
        <v>31</v>
      </c>
      <c r="H20" s="258">
        <f>VLOOKUP(B20,'Salary -Dec-2024 (Full)'!$B$6:$AE$383,7,0)</f>
        <v>0</v>
      </c>
      <c r="I20" s="66">
        <f t="shared" ref="I20" si="38">G20-H20</f>
        <v>31</v>
      </c>
      <c r="J20" s="67">
        <f t="shared" si="32"/>
        <v>483.87096774193549</v>
      </c>
      <c r="K20" s="68">
        <f>VLOOKUP(B20,'Salary -Dec-2024 (Full)'!$B$6:$AE$383,10,0)</f>
        <v>15000</v>
      </c>
      <c r="L20" s="68">
        <f t="shared" si="33"/>
        <v>9000</v>
      </c>
      <c r="M20" s="68">
        <f t="shared" si="34"/>
        <v>4500</v>
      </c>
      <c r="N20" s="68">
        <f t="shared" si="35"/>
        <v>900</v>
      </c>
      <c r="O20" s="68">
        <f t="shared" si="36"/>
        <v>600</v>
      </c>
      <c r="P20" s="69">
        <v>0</v>
      </c>
      <c r="Q20" s="70">
        <f>SUM(L20:P20)</f>
        <v>15000</v>
      </c>
      <c r="R20" s="70">
        <f>VLOOKUP(B20,'Salary -Dec-2024 (Full)'!$B$6:$AE$383,17,0)</f>
        <v>15000</v>
      </c>
      <c r="S20" s="192">
        <f>VLOOKUP(B20,'Salary -Dec-2024 (Full)'!$B$6:$AE$383,18,0)</f>
        <v>0</v>
      </c>
      <c r="T20" s="192">
        <f>VLOOKUP(B20,'Salary -Dec-2024 (Full)'!$B$6:$AE$383,19,0)</f>
        <v>0</v>
      </c>
      <c r="U20" s="337">
        <f>VLOOKUP(B20,'Salary -Dec-2024 (Full)'!$B$6:$AE$383,20,0)</f>
        <v>0</v>
      </c>
      <c r="V20" s="71">
        <f t="shared" ref="V20" si="39">SUM(R20:U20)</f>
        <v>15000</v>
      </c>
      <c r="W20" s="192">
        <f>VLOOKUP(B20,'Salary -Dec-2024 (Full)'!$B$6:$AE$383,22,0)</f>
        <v>0</v>
      </c>
      <c r="X20" s="192">
        <f>VLOOKUP(B20,'Salary -Dec-2024 (Full)'!$B$6:$AE$383,23,0)</f>
        <v>0</v>
      </c>
      <c r="Y20" s="337">
        <f>VLOOKUP(B20,'Salary -Dec-2024 (Full)'!$B$6:$AE$383,24,0)</f>
        <v>450</v>
      </c>
      <c r="Z20" s="192">
        <f>VLOOKUP(B20,'Salary -Dec-2024 (Full)'!$B$6:$AE$383,25,0)</f>
        <v>0</v>
      </c>
      <c r="AA20" s="192">
        <f>VLOOKUP(B20,'Salary -Dec-2024 (Full)'!$B$6:$AE$383,26,0)</f>
        <v>0</v>
      </c>
      <c r="AB20" s="73">
        <f t="shared" si="37"/>
        <v>450</v>
      </c>
      <c r="AC20" s="73">
        <f t="shared" si="30"/>
        <v>14550</v>
      </c>
      <c r="AD20" s="74" t="str">
        <f>VLOOKUP(B20,'Salary -Dec-2024 (Full)'!$B$6:$AE$383,29,0)</f>
        <v>Bank</v>
      </c>
      <c r="AE20" s="618" t="str">
        <f>VLOOKUP(B20,'Salary -Dec-2024 (Full)'!$B$6:$AE$2853,30,0)</f>
        <v>103.103.1293190</v>
      </c>
      <c r="AF20" s="800"/>
      <c r="AG20" s="800"/>
      <c r="AJ20" s="183"/>
      <c r="AK20" s="320"/>
    </row>
    <row r="21" spans="1:37" s="61" customFormat="1" ht="24" customHeight="1">
      <c r="A21" s="96">
        <v>5</v>
      </c>
      <c r="B21" s="97" t="s">
        <v>855</v>
      </c>
      <c r="C21" s="1045" t="str">
        <f>VLOOKUP(B21,'Salary -Dec-2024 (Full)'!$B$6:$D$383,2,0)</f>
        <v>Md Shamim Hossain</v>
      </c>
      <c r="D21" s="1046" t="str">
        <f>VLOOKUP(B21,'Salary -Dec-2024 (Full)'!$B$6:$D$383,3,0)</f>
        <v>Cleaner</v>
      </c>
      <c r="E21" s="1047" t="str">
        <f>VLOOKUP(B21,'Salary -Dec-2024 (Full)'!$B$6:$AE$383,4,0)</f>
        <v>Admin</v>
      </c>
      <c r="F21" s="1048">
        <f>VLOOKUP(B21,'Salary -Dec-2024 (Full)'!$B$6:$AE$383,5,0)</f>
        <v>44958</v>
      </c>
      <c r="G21" s="1049">
        <f>VLOOKUP(B21,'Salary -Dec-2024 (Full)'!$B$6:$AE$286,6,0)</f>
        <v>31</v>
      </c>
      <c r="H21" s="1050">
        <f>VLOOKUP(B21,'Salary -Dec-2024 (Full)'!$B$6:$AE$383,7,0)</f>
        <v>0</v>
      </c>
      <c r="I21" s="98">
        <f t="shared" si="31"/>
        <v>31</v>
      </c>
      <c r="J21" s="99">
        <f>Q21/G21</f>
        <v>435.48387096774195</v>
      </c>
      <c r="K21" s="100">
        <f>VLOOKUP(B21,'Salary -Dec-2024 (Full)'!$B$6:$AE$383,10,0)</f>
        <v>13500</v>
      </c>
      <c r="L21" s="100">
        <f t="shared" si="33"/>
        <v>8100</v>
      </c>
      <c r="M21" s="100">
        <f t="shared" si="34"/>
        <v>4050</v>
      </c>
      <c r="N21" s="100">
        <f t="shared" si="35"/>
        <v>810</v>
      </c>
      <c r="O21" s="100">
        <f t="shared" si="36"/>
        <v>540</v>
      </c>
      <c r="P21" s="1051"/>
      <c r="Q21" s="1052">
        <f t="shared" ref="Q21" si="40">SUM(L21:P21)</f>
        <v>13500</v>
      </c>
      <c r="R21" s="1052">
        <f>VLOOKUP(B21,'Salary -Dec-2024 (Full)'!$B$6:$AE$383,17,0)</f>
        <v>13500</v>
      </c>
      <c r="S21" s="1053">
        <f>VLOOKUP(B21,'Salary -Dec-2024 (Full)'!$B$6:$AE$383,18,0)</f>
        <v>0</v>
      </c>
      <c r="T21" s="1053">
        <f>VLOOKUP(B21,'Salary -Dec-2024 (Full)'!$B$6:$AE$383,19,0)</f>
        <v>3000</v>
      </c>
      <c r="U21" s="614">
        <f>VLOOKUP(B21,'Salary -Dec-2024 (Full)'!$B$6:$AE$383,20,0)</f>
        <v>0</v>
      </c>
      <c r="V21" s="1054">
        <f t="shared" ref="V21" si="41">SUM(R21:U21)</f>
        <v>16500</v>
      </c>
      <c r="W21" s="1053">
        <f>VLOOKUP(B21,'Salary -Dec-2024 (Full)'!$B$6:$AE$383,22,0)</f>
        <v>0</v>
      </c>
      <c r="X21" s="1053">
        <f>VLOOKUP(B21,'Salary -Dec-2024 (Full)'!$B$6:$AE$383,23,0)</f>
        <v>0</v>
      </c>
      <c r="Y21" s="614">
        <f>VLOOKUP(B21,'Salary -Dec-2024 (Full)'!$B$6:$AE$383,24,0)</f>
        <v>405</v>
      </c>
      <c r="Z21" s="1053">
        <f>VLOOKUP(B21,'Salary -Dec-2024 (Full)'!$B$6:$AE$383,25,0)</f>
        <v>0</v>
      </c>
      <c r="AA21" s="1053">
        <f>VLOOKUP(B21,'Salary -Dec-2024 (Full)'!$B$6:$AE$383,26,0)</f>
        <v>0</v>
      </c>
      <c r="AB21" s="1055">
        <f t="shared" si="37"/>
        <v>405</v>
      </c>
      <c r="AC21" s="1055">
        <f t="shared" si="30"/>
        <v>16095</v>
      </c>
      <c r="AD21" s="1056" t="str">
        <f>VLOOKUP(B21,'Salary -Dec-2024 (Full)'!$B$6:$AE$383,29,0)</f>
        <v>Bank</v>
      </c>
      <c r="AE21" s="1057" t="str">
        <f>VLOOKUP(B21,'Salary -Dec-2024 (Full)'!$B$6:$AE$2853,30,0)</f>
        <v>103.103.1365831</v>
      </c>
      <c r="AF21" s="800"/>
      <c r="AG21" s="800"/>
      <c r="AJ21" s="183"/>
      <c r="AK21" s="320"/>
    </row>
    <row r="22" spans="1:37" s="30" customFormat="1" ht="19.5" customHeight="1">
      <c r="A22" s="1031" t="s">
        <v>67</v>
      </c>
      <c r="B22" s="1032"/>
      <c r="C22" s="1033"/>
      <c r="D22" s="1034"/>
      <c r="E22" s="1040"/>
      <c r="F22" s="1036"/>
      <c r="G22" s="1041"/>
      <c r="H22" s="1041"/>
      <c r="I22" s="1041"/>
      <c r="J22" s="1041"/>
      <c r="K22" s="1037">
        <f>SUM(K17:K21)</f>
        <v>126000</v>
      </c>
      <c r="L22" s="1037">
        <f t="shared" ref="L22:AC22" si="42">SUM(L17:L21)</f>
        <v>75600</v>
      </c>
      <c r="M22" s="1037">
        <f t="shared" si="42"/>
        <v>37800</v>
      </c>
      <c r="N22" s="1037">
        <f t="shared" si="42"/>
        <v>7560</v>
      </c>
      <c r="O22" s="1037">
        <f t="shared" si="42"/>
        <v>5040</v>
      </c>
      <c r="P22" s="1037">
        <f t="shared" si="42"/>
        <v>0</v>
      </c>
      <c r="Q22" s="1037">
        <f t="shared" si="42"/>
        <v>126000</v>
      </c>
      <c r="R22" s="1037">
        <f t="shared" si="42"/>
        <v>126000</v>
      </c>
      <c r="S22" s="1037">
        <f t="shared" si="42"/>
        <v>0</v>
      </c>
      <c r="T22" s="1037">
        <f t="shared" si="42"/>
        <v>6000</v>
      </c>
      <c r="U22" s="1037">
        <f t="shared" si="42"/>
        <v>0</v>
      </c>
      <c r="V22" s="1037">
        <f t="shared" si="42"/>
        <v>132000</v>
      </c>
      <c r="W22" s="1037">
        <f t="shared" si="42"/>
        <v>417</v>
      </c>
      <c r="X22" s="1037">
        <f t="shared" si="42"/>
        <v>0</v>
      </c>
      <c r="Y22" s="1037">
        <f t="shared" si="42"/>
        <v>3780</v>
      </c>
      <c r="Z22" s="1037">
        <f t="shared" si="42"/>
        <v>0</v>
      </c>
      <c r="AA22" s="1037">
        <f t="shared" si="42"/>
        <v>10000</v>
      </c>
      <c r="AB22" s="1037">
        <f t="shared" si="42"/>
        <v>14197</v>
      </c>
      <c r="AC22" s="1037">
        <f t="shared" si="42"/>
        <v>117803</v>
      </c>
      <c r="AD22" s="1038"/>
      <c r="AE22" s="1042"/>
      <c r="AF22" s="801"/>
      <c r="AG22" s="801"/>
      <c r="AH22" s="61"/>
      <c r="AI22" s="61"/>
      <c r="AJ22" s="183"/>
      <c r="AK22" s="320"/>
    </row>
    <row r="23" spans="1:37" s="47" customFormat="1" ht="18.75" customHeight="1">
      <c r="A23" s="89" t="s">
        <v>89</v>
      </c>
      <c r="B23" s="268"/>
      <c r="C23" s="268"/>
      <c r="D23" s="348"/>
      <c r="E23" s="268"/>
      <c r="F23" s="268"/>
      <c r="G23" s="268"/>
      <c r="H23" s="267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8"/>
      <c r="AD23" s="268"/>
      <c r="AE23" s="619"/>
      <c r="AF23" s="802"/>
      <c r="AG23" s="802"/>
      <c r="AH23" s="61"/>
      <c r="AI23" s="61"/>
      <c r="AJ23" s="183"/>
      <c r="AK23" s="320"/>
    </row>
    <row r="24" spans="1:37" s="61" customFormat="1" ht="24" customHeight="1">
      <c r="A24" s="92">
        <v>1</v>
      </c>
      <c r="B24" s="405" t="s">
        <v>90</v>
      </c>
      <c r="C24" s="341" t="str">
        <f>VLOOKUP(B24,'Salary -Dec-2024 (Full)'!$B$6:$D$383,2,0)</f>
        <v>Md. Tohidur Rahman</v>
      </c>
      <c r="D24" s="342" t="str">
        <f>VLOOKUP(B24,'Salary -Dec-2024 (Full)'!$B$6:$D$383,3,0)</f>
        <v>Senior Manager</v>
      </c>
      <c r="E24" s="343" t="str">
        <f>VLOOKUP(B24,'Salary -Dec-2024 (Full)'!$B$6:$AE$383,4,0)</f>
        <v>SCM</v>
      </c>
      <c r="F24" s="266">
        <f>VLOOKUP(B24,'Salary -Dec-2024 (Full)'!$B$6:$AE$383,5,0)</f>
        <v>44607</v>
      </c>
      <c r="G24" s="257">
        <f>VLOOKUP(B24,'Salary -Dec-2024 (Full)'!$B$6:$AE$286,6,0)</f>
        <v>31</v>
      </c>
      <c r="H24" s="258">
        <f>VLOOKUP(B24,'Salary -Dec-2024 (Full)'!$B$6:$AE$383,7,0)</f>
        <v>0</v>
      </c>
      <c r="I24" s="257">
        <f t="shared" ref="I24:I25" si="43">G24-H24</f>
        <v>31</v>
      </c>
      <c r="J24" s="258">
        <f t="shared" ref="J24:J25" si="44">Q24/G24</f>
        <v>3548.3870967741937</v>
      </c>
      <c r="K24" s="380">
        <f>VLOOKUP(B24,'Salary -Dec-2024 (Full)'!$B$6:$AE$383,10,0)</f>
        <v>110000</v>
      </c>
      <c r="L24" s="192">
        <f t="shared" ref="L24:L25" si="45">K24*60%</f>
        <v>66000</v>
      </c>
      <c r="M24" s="192">
        <f t="shared" ref="M24:M25" si="46">K24*30%</f>
        <v>33000</v>
      </c>
      <c r="N24" s="192">
        <f t="shared" ref="N24:N25" si="47">K24*6%</f>
        <v>6600</v>
      </c>
      <c r="O24" s="192">
        <f t="shared" ref="O24:O25" si="48">K24*4%</f>
        <v>4400</v>
      </c>
      <c r="P24" s="344">
        <v>0</v>
      </c>
      <c r="Q24" s="345">
        <f>SUM(L24:P24)</f>
        <v>110000</v>
      </c>
      <c r="R24" s="334">
        <f>VLOOKUP(B24,'Salary -Dec-2024 (Full)'!$B$6:$AE$383,17,0)</f>
        <v>110000</v>
      </c>
      <c r="S24" s="192">
        <f>VLOOKUP(B24,'Salary -Dec-2024 (Full)'!$B$6:$AE$383,18,0)</f>
        <v>0</v>
      </c>
      <c r="T24" s="192">
        <f>VLOOKUP(B24,'Salary -Dec-2024 (Full)'!$B$6:$AE$383,19,0)</f>
        <v>0</v>
      </c>
      <c r="U24" s="337">
        <f>VLOOKUP(B24,'Salary -Dec-2024 (Full)'!$B$6:$AE$383,20,0)</f>
        <v>0</v>
      </c>
      <c r="V24" s="338">
        <f>SUM(R24:U24)</f>
        <v>110000</v>
      </c>
      <c r="W24" s="192">
        <f>VLOOKUP(B24,'Salary -Dec-2024 (Full)'!$B$6:$AE$383,22,0)</f>
        <v>3145</v>
      </c>
      <c r="X24" s="192">
        <f>VLOOKUP(B24,'Salary -Dec-2024 (Full)'!$B$6:$AE$383,23,0)</f>
        <v>0</v>
      </c>
      <c r="Y24" s="337">
        <f>VLOOKUP(B24,'Salary -Dec-2024 (Full)'!$B$6:$AE$383,24,0)</f>
        <v>3300</v>
      </c>
      <c r="Z24" s="192">
        <f>VLOOKUP(B24,'Salary -Dec-2024 (Full)'!$B$6:$AE$383,25,0)</f>
        <v>0</v>
      </c>
      <c r="AA24" s="192">
        <f>VLOOKUP(B24,'Salary -Dec-2024 (Full)'!$B$6:$AE$383,26,0)</f>
        <v>0</v>
      </c>
      <c r="AB24" s="73">
        <f t="shared" ref="AB24" si="49">SUM(W24:AA24)</f>
        <v>6445</v>
      </c>
      <c r="AC24" s="73">
        <f>ROUND(V24-AB24,0)</f>
        <v>103555</v>
      </c>
      <c r="AD24" s="74" t="str">
        <f>VLOOKUP(B24,'Salary -Dec-2024 (Full)'!$B$6:$AE$383,29,0)</f>
        <v>Bank</v>
      </c>
      <c r="AE24" s="618" t="str">
        <f>VLOOKUP(B24,'Salary -Dec-2024 (Full)'!$B$6:$AE$2853,30,0)</f>
        <v>116.103.0831555</v>
      </c>
      <c r="AF24" s="800"/>
      <c r="AG24" s="800"/>
      <c r="AJ24" s="183"/>
      <c r="AK24" s="320"/>
    </row>
    <row r="25" spans="1:37" s="61" customFormat="1" ht="24" customHeight="1">
      <c r="A25" s="62">
        <v>2</v>
      </c>
      <c r="B25" s="63" t="s">
        <v>654</v>
      </c>
      <c r="C25" s="255" t="str">
        <f>VLOOKUP(B25,'Salary -Dec-2024 (Full)'!$B$6:$D$383,2,0)</f>
        <v>Md Mostafizur Rahman</v>
      </c>
      <c r="D25" s="278" t="str">
        <f>VLOOKUP(B25,'Salary -Dec-2024 (Full)'!$B$6:$D$383,3,0)</f>
        <v>Deputy Manager</v>
      </c>
      <c r="E25" s="256" t="str">
        <f>VLOOKUP(B25,'Salary -Dec-2024 (Full)'!$B$6:$AE$383,4,0)</f>
        <v>Commercial</v>
      </c>
      <c r="F25" s="265">
        <f>VLOOKUP(B25,'Salary -Dec-2024 (Full)'!$B$6:$AE$383,5,0)</f>
        <v>45048</v>
      </c>
      <c r="G25" s="257">
        <f>VLOOKUP(B25,'Salary -Dec-2024 (Full)'!$B$6:$AE$286,6,0)</f>
        <v>31</v>
      </c>
      <c r="H25" s="258">
        <f>VLOOKUP(B25,'Salary -Dec-2024 (Full)'!$B$6:$AE$383,7,0)</f>
        <v>0</v>
      </c>
      <c r="I25" s="66">
        <f t="shared" si="43"/>
        <v>31</v>
      </c>
      <c r="J25" s="67">
        <f t="shared" si="44"/>
        <v>1225.8064516129032</v>
      </c>
      <c r="K25" s="68">
        <f>VLOOKUP(B25,'Salary -Dec-2024 (Full)'!$B$6:$AE$383,10,0)</f>
        <v>38000</v>
      </c>
      <c r="L25" s="68">
        <f t="shared" si="45"/>
        <v>22800</v>
      </c>
      <c r="M25" s="68">
        <f t="shared" si="46"/>
        <v>11400</v>
      </c>
      <c r="N25" s="68">
        <f t="shared" si="47"/>
        <v>2280</v>
      </c>
      <c r="O25" s="68">
        <f t="shared" si="48"/>
        <v>1520</v>
      </c>
      <c r="P25" s="69">
        <v>0</v>
      </c>
      <c r="Q25" s="70">
        <f>SUM(L25:P25)</f>
        <v>38000</v>
      </c>
      <c r="R25" s="70">
        <f>VLOOKUP(B25,'Salary -Dec-2024 (Full)'!$B$6:$AE$383,17,0)</f>
        <v>38000</v>
      </c>
      <c r="S25" s="192">
        <f>VLOOKUP(B25,'Salary -Dec-2024 (Full)'!$B$6:$AE$383,18,0)</f>
        <v>0</v>
      </c>
      <c r="T25" s="192">
        <f>VLOOKUP(B25,'Salary -Dec-2024 (Full)'!$B$6:$AE$383,19,0)</f>
        <v>0</v>
      </c>
      <c r="U25" s="337">
        <f>VLOOKUP(B25,'Salary -Dec-2024 (Full)'!$B$6:$AE$383,20,0)</f>
        <v>0</v>
      </c>
      <c r="V25" s="71">
        <f>SUM(R25:U25)</f>
        <v>38000</v>
      </c>
      <c r="W25" s="192">
        <f>VLOOKUP(B25,'Salary -Dec-2024 (Full)'!$B$6:$AE$383,22,0)</f>
        <v>0</v>
      </c>
      <c r="X25" s="192">
        <f>VLOOKUP(B25,'Salary -Dec-2024 (Full)'!$B$6:$AE$383,23,0)</f>
        <v>0</v>
      </c>
      <c r="Y25" s="337">
        <f>VLOOKUP(B25,'Salary -Dec-2024 (Full)'!$B$6:$AE$383,24,0)</f>
        <v>1140</v>
      </c>
      <c r="Z25" s="192">
        <f>VLOOKUP(B25,'Salary -Dec-2024 (Full)'!$B$6:$AE$383,25,0)</f>
        <v>0</v>
      </c>
      <c r="AA25" s="192">
        <f>VLOOKUP(B25,'Salary -Dec-2024 (Full)'!$B$6:$AE$383,26,0)</f>
        <v>2000</v>
      </c>
      <c r="AB25" s="73">
        <f t="shared" ref="AB25" si="50">SUM(W25:AA25)</f>
        <v>3140</v>
      </c>
      <c r="AC25" s="73">
        <f t="shared" ref="AC25" si="51">ROUND(V25-AB25,0)</f>
        <v>34860</v>
      </c>
      <c r="AD25" s="74" t="str">
        <f>VLOOKUP(B25,'Salary -Dec-2024 (Full)'!$B$6:$AE$383,29,0)</f>
        <v>Bank</v>
      </c>
      <c r="AE25" s="618" t="str">
        <f>VLOOKUP(B25,'Salary -Dec-2024 (Full)'!$B$6:$AE$2853,30,0)</f>
        <v>103.103.0580390</v>
      </c>
      <c r="AF25" s="800"/>
      <c r="AG25" s="800"/>
      <c r="AJ25" s="183"/>
      <c r="AK25" s="320"/>
    </row>
    <row r="26" spans="1:37" s="61" customFormat="1" ht="17.25" customHeight="1">
      <c r="A26" s="1031" t="s">
        <v>67</v>
      </c>
      <c r="B26" s="1032"/>
      <c r="C26" s="1033"/>
      <c r="D26" s="1034"/>
      <c r="E26" s="1040"/>
      <c r="F26" s="1036"/>
      <c r="G26" s="1036"/>
      <c r="H26" s="1036"/>
      <c r="I26" s="1036"/>
      <c r="J26" s="1036"/>
      <c r="K26" s="1037">
        <f>SUM(K24:K25)</f>
        <v>148000</v>
      </c>
      <c r="L26" s="1037">
        <f t="shared" ref="L26:AC26" si="52">SUM(L24:L25)</f>
        <v>88800</v>
      </c>
      <c r="M26" s="1037">
        <f t="shared" si="52"/>
        <v>44400</v>
      </c>
      <c r="N26" s="1037">
        <f t="shared" si="52"/>
        <v>8880</v>
      </c>
      <c r="O26" s="1037">
        <f t="shared" si="52"/>
        <v>5920</v>
      </c>
      <c r="P26" s="1037">
        <f t="shared" si="52"/>
        <v>0</v>
      </c>
      <c r="Q26" s="1037">
        <f t="shared" si="52"/>
        <v>148000</v>
      </c>
      <c r="R26" s="1037">
        <f t="shared" si="52"/>
        <v>148000</v>
      </c>
      <c r="S26" s="1037">
        <f t="shared" si="52"/>
        <v>0</v>
      </c>
      <c r="T26" s="1037">
        <f t="shared" si="52"/>
        <v>0</v>
      </c>
      <c r="U26" s="1037">
        <f t="shared" si="52"/>
        <v>0</v>
      </c>
      <c r="V26" s="1037">
        <f t="shared" si="52"/>
        <v>148000</v>
      </c>
      <c r="W26" s="1037">
        <f t="shared" si="52"/>
        <v>3145</v>
      </c>
      <c r="X26" s="1037">
        <f t="shared" si="52"/>
        <v>0</v>
      </c>
      <c r="Y26" s="1037">
        <f t="shared" si="52"/>
        <v>4440</v>
      </c>
      <c r="Z26" s="1037">
        <f t="shared" si="52"/>
        <v>0</v>
      </c>
      <c r="AA26" s="1037">
        <f t="shared" si="52"/>
        <v>2000</v>
      </c>
      <c r="AB26" s="1037">
        <f t="shared" si="52"/>
        <v>9585</v>
      </c>
      <c r="AC26" s="1037">
        <f t="shared" si="52"/>
        <v>138415</v>
      </c>
      <c r="AD26" s="1037"/>
      <c r="AE26" s="1042"/>
      <c r="AF26" s="801"/>
      <c r="AG26" s="801"/>
      <c r="AJ26" s="183"/>
      <c r="AK26" s="320"/>
    </row>
    <row r="27" spans="1:37" s="47" customFormat="1" ht="18" customHeight="1">
      <c r="A27" s="89" t="s">
        <v>94</v>
      </c>
      <c r="B27" s="268"/>
      <c r="C27" s="268"/>
      <c r="D27" s="348"/>
      <c r="E27" s="268"/>
      <c r="F27" s="268"/>
      <c r="G27" s="268"/>
      <c r="H27" s="267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619"/>
      <c r="AF27" s="802"/>
      <c r="AG27" s="802"/>
      <c r="AH27" s="61"/>
      <c r="AI27" s="61"/>
      <c r="AJ27" s="183"/>
      <c r="AK27" s="320"/>
    </row>
    <row r="28" spans="1:37" s="61" customFormat="1" ht="24" customHeight="1">
      <c r="A28" s="92">
        <v>1</v>
      </c>
      <c r="B28" s="405" t="s">
        <v>95</v>
      </c>
      <c r="C28" s="341" t="str">
        <f>VLOOKUP(B28,'Salary -Dec-2024 (Full)'!$B$6:$D$383,2,0)</f>
        <v>Shafiq Miah</v>
      </c>
      <c r="D28" s="342" t="str">
        <f>VLOOKUP(B28,'Salary -Dec-2024 (Full)'!$B$6:$D$383,3,0)</f>
        <v>Mechanic</v>
      </c>
      <c r="E28" s="343" t="str">
        <f>VLOOKUP(B28,'Salary -Dec-2024 (Full)'!$B$6:$AE$383,4,0)</f>
        <v>Technical</v>
      </c>
      <c r="F28" s="266">
        <f>VLOOKUP(B28,'Salary -Dec-2024 (Full)'!$B$6:$AE$383,5,0)</f>
        <v>44362</v>
      </c>
      <c r="G28" s="257">
        <f>VLOOKUP(B28,'Salary -Dec-2024 (Full)'!$B$6:$AE$286,6,0)</f>
        <v>31</v>
      </c>
      <c r="H28" s="258">
        <f>VLOOKUP(B28,'Salary -Dec-2024 (Full)'!$B$6:$AE$383,7,0)</f>
        <v>0</v>
      </c>
      <c r="I28" s="257">
        <f t="shared" ref="I28:I29" si="53">G28-H28</f>
        <v>31</v>
      </c>
      <c r="J28" s="258">
        <f t="shared" ref="J28:J29" si="54">Q28/G28</f>
        <v>774.19354838709683</v>
      </c>
      <c r="K28" s="380">
        <f>VLOOKUP(B28,'Salary -Dec-2024 (Full)'!$B$6:$AE$383,10,0)</f>
        <v>24000</v>
      </c>
      <c r="L28" s="192">
        <f t="shared" ref="L28:L29" si="55">K28*60%</f>
        <v>14400</v>
      </c>
      <c r="M28" s="192">
        <f t="shared" ref="M28:M29" si="56">K28*30%</f>
        <v>7200</v>
      </c>
      <c r="N28" s="192">
        <f t="shared" ref="N28:N29" si="57">K28*6%</f>
        <v>1440</v>
      </c>
      <c r="O28" s="192">
        <f t="shared" ref="O28:O29" si="58">K28*4%</f>
        <v>960</v>
      </c>
      <c r="P28" s="344">
        <v>0</v>
      </c>
      <c r="Q28" s="345">
        <f>SUM(L28:P28)</f>
        <v>24000</v>
      </c>
      <c r="R28" s="334">
        <f>VLOOKUP(B28,'Salary -Dec-2024 (Full)'!$B$6:$AE$383,17,0)</f>
        <v>24000</v>
      </c>
      <c r="S28" s="192">
        <f>VLOOKUP(B28,'Salary -Dec-2024 (Full)'!$B$6:$AE$383,18,0)</f>
        <v>0</v>
      </c>
      <c r="T28" s="192">
        <f>VLOOKUP(B28,'Salary -Dec-2024 (Full)'!$B$6:$AE$383,19,0)</f>
        <v>0</v>
      </c>
      <c r="U28" s="337">
        <f>VLOOKUP(B28,'Salary -Dec-2024 (Full)'!$B$6:$AE$383,20,0)</f>
        <v>0</v>
      </c>
      <c r="V28" s="338">
        <f>SUM(R28:U28)</f>
        <v>24000</v>
      </c>
      <c r="W28" s="192">
        <f>VLOOKUP(B28,'Salary -Dec-2024 (Full)'!$B$6:$AE$383,22,0)</f>
        <v>0</v>
      </c>
      <c r="X28" s="192">
        <f>VLOOKUP(B28,'Salary -Dec-2024 (Full)'!$B$6:$AE$383,23,0)</f>
        <v>0</v>
      </c>
      <c r="Y28" s="337">
        <f>VLOOKUP(B28,'Salary -Dec-2024 (Full)'!$B$6:$AE$383,24,0)</f>
        <v>720</v>
      </c>
      <c r="Z28" s="192">
        <f>VLOOKUP(B28,'Salary -Dec-2024 (Full)'!$B$6:$AE$383,25,0)</f>
        <v>2000</v>
      </c>
      <c r="AA28" s="192">
        <f>VLOOKUP(B28,'Salary -Dec-2024 (Full)'!$B$6:$AE$383,26,0)</f>
        <v>0</v>
      </c>
      <c r="AB28" s="73">
        <f t="shared" ref="AB28:AB30" si="59">SUM(W28:AA28)</f>
        <v>2720</v>
      </c>
      <c r="AC28" s="73">
        <f>ROUND(V28-AB28,0)</f>
        <v>21280</v>
      </c>
      <c r="AD28" s="74" t="str">
        <f>VLOOKUP(B28,'Salary -Dec-2024 (Full)'!$B$6:$AE$383,29,0)</f>
        <v>Bank</v>
      </c>
      <c r="AE28" s="618" t="str">
        <f>VLOOKUP(B28,'Salary -Dec-2024 (Full)'!$B$6:$AE$2853,30,0)</f>
        <v>103.103.1252484</v>
      </c>
      <c r="AF28" s="800"/>
      <c r="AG28" s="800"/>
      <c r="AJ28" s="183"/>
      <c r="AK28" s="320"/>
    </row>
    <row r="29" spans="1:37" s="61" customFormat="1" ht="24" customHeight="1">
      <c r="A29" s="62">
        <v>2</v>
      </c>
      <c r="B29" s="63" t="s">
        <v>99</v>
      </c>
      <c r="C29" s="255" t="str">
        <f>VLOOKUP(B29,'Salary -Dec-2024 (Full)'!$B$6:$D$383,2,0)</f>
        <v>Md. Rahis Uddin</v>
      </c>
      <c r="D29" s="278" t="str">
        <f>VLOOKUP(B29,'Salary -Dec-2024 (Full)'!$B$6:$D$383,3,0)</f>
        <v>Mechanic</v>
      </c>
      <c r="E29" s="256" t="str">
        <f>VLOOKUP(B29,'Salary -Dec-2024 (Full)'!$B$6:$AE$383,4,0)</f>
        <v>Technical</v>
      </c>
      <c r="F29" s="265">
        <f>VLOOKUP(B29,'Salary -Dec-2024 (Full)'!$B$6:$AE$383,5,0)</f>
        <v>44602</v>
      </c>
      <c r="G29" s="257">
        <f>VLOOKUP(B29,'Salary -Dec-2024 (Full)'!$B$6:$AE$286,6,0)</f>
        <v>31</v>
      </c>
      <c r="H29" s="258">
        <f>VLOOKUP(B29,'Salary -Dec-2024 (Full)'!$B$6:$AE$383,7,0)</f>
        <v>0</v>
      </c>
      <c r="I29" s="66">
        <f t="shared" si="53"/>
        <v>31</v>
      </c>
      <c r="J29" s="67">
        <f t="shared" si="54"/>
        <v>725.80645161290317</v>
      </c>
      <c r="K29" s="68">
        <f>VLOOKUP(B29,'Salary -Dec-2024 (Full)'!$B$6:$AE$383,10,0)</f>
        <v>22500</v>
      </c>
      <c r="L29" s="68">
        <f t="shared" si="55"/>
        <v>13500</v>
      </c>
      <c r="M29" s="68">
        <f t="shared" si="56"/>
        <v>6750</v>
      </c>
      <c r="N29" s="68">
        <f t="shared" si="57"/>
        <v>1350</v>
      </c>
      <c r="O29" s="68">
        <f t="shared" si="58"/>
        <v>900</v>
      </c>
      <c r="P29" s="69"/>
      <c r="Q29" s="70">
        <f>SUM(L29:P29)</f>
        <v>22500</v>
      </c>
      <c r="R29" s="70">
        <f>VLOOKUP(B29,'Salary -Dec-2024 (Full)'!$B$6:$AE$383,17,0)</f>
        <v>22500</v>
      </c>
      <c r="S29" s="192">
        <f>VLOOKUP(B29,'Salary -Dec-2024 (Full)'!$B$6:$AE$383,18,0)</f>
        <v>0</v>
      </c>
      <c r="T29" s="192">
        <f>VLOOKUP(B29,'Salary -Dec-2024 (Full)'!$B$6:$AE$383,19,0)</f>
        <v>0</v>
      </c>
      <c r="U29" s="337">
        <f>VLOOKUP(B29,'Salary -Dec-2024 (Full)'!$B$6:$AE$383,20,0)</f>
        <v>0</v>
      </c>
      <c r="V29" s="71">
        <f>SUM(R29:U29)</f>
        <v>22500</v>
      </c>
      <c r="W29" s="192">
        <f>VLOOKUP(B29,'Salary -Dec-2024 (Full)'!$B$6:$AE$383,22,0)</f>
        <v>0</v>
      </c>
      <c r="X29" s="192">
        <f>VLOOKUP(B29,'Salary -Dec-2024 (Full)'!$B$6:$AE$383,23,0)</f>
        <v>0</v>
      </c>
      <c r="Y29" s="337">
        <f>VLOOKUP(B29,'Salary -Dec-2024 (Full)'!$B$6:$AE$383,24,0)</f>
        <v>675</v>
      </c>
      <c r="Z29" s="192">
        <f>VLOOKUP(B29,'Salary -Dec-2024 (Full)'!$B$6:$AE$383,25,0)</f>
        <v>0</v>
      </c>
      <c r="AA29" s="192">
        <f>VLOOKUP(B29,'Salary -Dec-2024 (Full)'!$B$6:$AE$383,26,0)</f>
        <v>0</v>
      </c>
      <c r="AB29" s="73">
        <f t="shared" si="59"/>
        <v>675</v>
      </c>
      <c r="AC29" s="73">
        <f t="shared" ref="AC29:AC30" si="60">ROUND(V29-AB29,0)</f>
        <v>21825</v>
      </c>
      <c r="AD29" s="74" t="str">
        <f>VLOOKUP(B29,'Salary -Dec-2024 (Full)'!$B$6:$AE$383,29,0)</f>
        <v>Bank</v>
      </c>
      <c r="AE29" s="618" t="str">
        <f>VLOOKUP(B29,'Salary -Dec-2024 (Full)'!$B$6:$AE$2853,30,0)</f>
        <v>190.103.0055668</v>
      </c>
      <c r="AF29" s="800"/>
      <c r="AG29" s="800"/>
      <c r="AJ29" s="183"/>
      <c r="AK29" s="320"/>
    </row>
    <row r="30" spans="1:37" s="61" customFormat="1" ht="24" customHeight="1">
      <c r="A30" s="62">
        <v>3</v>
      </c>
      <c r="B30" s="63" t="s">
        <v>104</v>
      </c>
      <c r="C30" s="255" t="str">
        <f>VLOOKUP(B30,'Salary -Dec-2024 (Full)'!$B$6:$D$383,2,0)</f>
        <v>Lutfor Rahman</v>
      </c>
      <c r="D30" s="278" t="str">
        <f>VLOOKUP(B30,'Salary -Dec-2024 (Full)'!$B$6:$D$383,3,0)</f>
        <v>Mechanic</v>
      </c>
      <c r="E30" s="256" t="str">
        <f>VLOOKUP(B30,'Salary -Dec-2024 (Full)'!$B$6:$AE$383,4,0)</f>
        <v>Technical</v>
      </c>
      <c r="F30" s="265">
        <f>VLOOKUP(B30,'Salary -Dec-2024 (Full)'!$B$6:$AE$383,5,0)</f>
        <v>44640</v>
      </c>
      <c r="G30" s="257">
        <f>VLOOKUP(B30,'Salary -Dec-2024 (Full)'!$B$6:$AE$286,6,0)</f>
        <v>31</v>
      </c>
      <c r="H30" s="258">
        <f>VLOOKUP(B30,'Salary -Dec-2024 (Full)'!$B$6:$AE$383,7,0)</f>
        <v>0</v>
      </c>
      <c r="I30" s="66">
        <f t="shared" ref="I30:I32" si="61">G30-H30</f>
        <v>31</v>
      </c>
      <c r="J30" s="67">
        <f t="shared" ref="J30:J32" si="62">Q30/G30</f>
        <v>550</v>
      </c>
      <c r="K30" s="68">
        <f>VLOOKUP(B30,'Salary -Dec-2024 (Full)'!$B$6:$AE$383,10,0)</f>
        <v>17050</v>
      </c>
      <c r="L30" s="68">
        <f t="shared" ref="L30:L32" si="63">K30*60%</f>
        <v>10230</v>
      </c>
      <c r="M30" s="68">
        <f t="shared" ref="M30:M32" si="64">K30*30%</f>
        <v>5115</v>
      </c>
      <c r="N30" s="68">
        <f t="shared" ref="N30:N32" si="65">K30*6%</f>
        <v>1023</v>
      </c>
      <c r="O30" s="68">
        <f t="shared" ref="O30:O32" si="66">K30*4%</f>
        <v>682</v>
      </c>
      <c r="P30" s="69"/>
      <c r="Q30" s="70">
        <f t="shared" ref="Q30:Q35" si="67">SUM(L30:P30)</f>
        <v>17050</v>
      </c>
      <c r="R30" s="70">
        <f>VLOOKUP(B30,'Salary -Dec-2024 (Full)'!$B$6:$AE$383,17,0)</f>
        <v>17050</v>
      </c>
      <c r="S30" s="192">
        <f>VLOOKUP(B30,'Salary -Dec-2024 (Full)'!$B$6:$AE$383,18,0)</f>
        <v>0</v>
      </c>
      <c r="T30" s="192">
        <f>VLOOKUP(B30,'Salary -Dec-2024 (Full)'!$B$6:$AE$383,19,0)</f>
        <v>0</v>
      </c>
      <c r="U30" s="337">
        <f>VLOOKUP(B30,'Salary -Dec-2024 (Full)'!$B$6:$AE$383,20,0)</f>
        <v>0</v>
      </c>
      <c r="V30" s="71">
        <f t="shared" ref="V30:V44" si="68">SUM(R30:U30)</f>
        <v>17050</v>
      </c>
      <c r="W30" s="192">
        <f>VLOOKUP(B30,'Salary -Dec-2024 (Full)'!$B$6:$AE$383,22,0)</f>
        <v>0</v>
      </c>
      <c r="X30" s="192">
        <f>VLOOKUP(B30,'Salary -Dec-2024 (Full)'!$B$6:$AE$383,23,0)</f>
        <v>0</v>
      </c>
      <c r="Y30" s="337">
        <f>VLOOKUP(B30,'Salary -Dec-2024 (Full)'!$B$6:$AE$383,24,0)</f>
        <v>512</v>
      </c>
      <c r="Z30" s="192">
        <f>VLOOKUP(B30,'Salary -Dec-2024 (Full)'!$B$6:$AE$383,25,0)</f>
        <v>2000</v>
      </c>
      <c r="AA30" s="192">
        <f>VLOOKUP(B30,'Salary -Dec-2024 (Full)'!$B$6:$AE$383,26,0)</f>
        <v>0</v>
      </c>
      <c r="AB30" s="73">
        <f t="shared" si="59"/>
        <v>2512</v>
      </c>
      <c r="AC30" s="73">
        <f t="shared" si="60"/>
        <v>14538</v>
      </c>
      <c r="AD30" s="74" t="str">
        <f>VLOOKUP(B30,'Salary -Dec-2024 (Full)'!$B$6:$AE$383,29,0)</f>
        <v>Bank</v>
      </c>
      <c r="AE30" s="618" t="str">
        <f>VLOOKUP(B30,'Salary -Dec-2024 (Full)'!$B$6:$AE$2853,30,0)</f>
        <v>226.158.0013030</v>
      </c>
      <c r="AF30" s="800"/>
      <c r="AG30" s="800"/>
      <c r="AJ30" s="183"/>
      <c r="AK30" s="320"/>
    </row>
    <row r="31" spans="1:37" s="61" customFormat="1" ht="23.25" customHeight="1">
      <c r="A31" s="62">
        <v>4</v>
      </c>
      <c r="B31" s="63" t="s">
        <v>110</v>
      </c>
      <c r="C31" s="255" t="str">
        <f>VLOOKUP(B31,'Salary -Dec-2024 (Full)'!$B$6:$D$383,2,0)</f>
        <v xml:space="preserve">Md. Iqbal </v>
      </c>
      <c r="D31" s="278" t="str">
        <f>VLOOKUP(B31,'Salary -Dec-2024 (Full)'!$B$6:$D$383,3,0)</f>
        <v>Jr.Mechanic</v>
      </c>
      <c r="E31" s="256" t="str">
        <f>VLOOKUP(B31,'Salary -Dec-2024 (Full)'!$B$6:$AE$383,4,0)</f>
        <v>Technical</v>
      </c>
      <c r="F31" s="265">
        <f>VLOOKUP(B31,'Salary -Dec-2024 (Full)'!$B$6:$AE$383,5,0)</f>
        <v>44601</v>
      </c>
      <c r="G31" s="257">
        <f>VLOOKUP(B31,'Salary -Dec-2024 (Full)'!$B$6:$AE$286,6,0)</f>
        <v>31</v>
      </c>
      <c r="H31" s="258">
        <f>VLOOKUP(B31,'Salary -Dec-2024 (Full)'!$B$6:$AE$383,7,0)</f>
        <v>0</v>
      </c>
      <c r="I31" s="66">
        <f t="shared" si="61"/>
        <v>31</v>
      </c>
      <c r="J31" s="67">
        <f t="shared" si="62"/>
        <v>575.80645161290317</v>
      </c>
      <c r="K31" s="68">
        <f>VLOOKUP(B31,'Salary -Dec-2024 (Full)'!$B$6:$AE$383,10,0)</f>
        <v>17850</v>
      </c>
      <c r="L31" s="68">
        <f t="shared" si="63"/>
        <v>10710</v>
      </c>
      <c r="M31" s="68">
        <f t="shared" si="64"/>
        <v>5355</v>
      </c>
      <c r="N31" s="68">
        <f t="shared" si="65"/>
        <v>1071</v>
      </c>
      <c r="O31" s="68">
        <f t="shared" si="66"/>
        <v>714</v>
      </c>
      <c r="P31" s="69"/>
      <c r="Q31" s="70">
        <f t="shared" si="67"/>
        <v>17850</v>
      </c>
      <c r="R31" s="70">
        <f>VLOOKUP(B31,'Salary -Dec-2024 (Full)'!$B$6:$AE$383,17,0)</f>
        <v>17850</v>
      </c>
      <c r="S31" s="192">
        <f>VLOOKUP(B31,'Salary -Dec-2024 (Full)'!$B$6:$AE$383,18,0)</f>
        <v>0</v>
      </c>
      <c r="T31" s="192">
        <f>VLOOKUP(B31,'Salary -Dec-2024 (Full)'!$B$6:$AE$383,19,0)</f>
        <v>0</v>
      </c>
      <c r="U31" s="337">
        <f>VLOOKUP(B31,'Salary -Dec-2024 (Full)'!$B$6:$AE$383,20,0)</f>
        <v>0</v>
      </c>
      <c r="V31" s="71">
        <f t="shared" si="68"/>
        <v>17850</v>
      </c>
      <c r="W31" s="192">
        <f>VLOOKUP(B31,'Salary -Dec-2024 (Full)'!$B$6:$AE$383,22,0)</f>
        <v>0</v>
      </c>
      <c r="X31" s="192">
        <f>VLOOKUP(B31,'Salary -Dec-2024 (Full)'!$B$6:$AE$383,23,0)</f>
        <v>0</v>
      </c>
      <c r="Y31" s="337">
        <f>VLOOKUP(B31,'Salary -Dec-2024 (Full)'!$B$6:$AE$383,24,0)</f>
        <v>536</v>
      </c>
      <c r="Z31" s="192">
        <f>VLOOKUP(B31,'Salary -Dec-2024 (Full)'!$B$6:$AE$383,25,0)</f>
        <v>842</v>
      </c>
      <c r="AA31" s="192">
        <f>VLOOKUP(B31,'Salary -Dec-2024 (Full)'!$B$6:$AE$383,26,0)</f>
        <v>0</v>
      </c>
      <c r="AB31" s="73">
        <f t="shared" ref="AB31:AB33" si="69">SUM(W31:AA31)</f>
        <v>1378</v>
      </c>
      <c r="AC31" s="73">
        <f t="shared" ref="AC31:AC33" si="70">ROUND(V31-AB31,0)</f>
        <v>16472</v>
      </c>
      <c r="AD31" s="74" t="str">
        <f>VLOOKUP(B31,'Salary -Dec-2024 (Full)'!$B$6:$AE$383,29,0)</f>
        <v>Bank</v>
      </c>
      <c r="AE31" s="618" t="str">
        <f>VLOOKUP(B31,'Salary -Dec-2024 (Full)'!$B$6:$AE$2853,30,0)</f>
        <v>226.158.0010637</v>
      </c>
      <c r="AF31" s="800"/>
      <c r="AG31" s="800"/>
      <c r="AJ31" s="183"/>
      <c r="AK31" s="320"/>
    </row>
    <row r="32" spans="1:37" s="61" customFormat="1" ht="24" customHeight="1">
      <c r="A32" s="62">
        <v>5</v>
      </c>
      <c r="B32" s="63" t="s">
        <v>116</v>
      </c>
      <c r="C32" s="255" t="str">
        <f>VLOOKUP(B32,'Salary -Dec-2024 (Full)'!$B$6:$D$383,2,0)</f>
        <v>Md. Raza</v>
      </c>
      <c r="D32" s="278" t="str">
        <f>VLOOKUP(B32,'Salary -Dec-2024 (Full)'!$B$6:$D$383,3,0)</f>
        <v>Mechanic</v>
      </c>
      <c r="E32" s="256" t="str">
        <f>VLOOKUP(B32,'Salary -Dec-2024 (Full)'!$B$6:$AE$383,4,0)</f>
        <v>Technical</v>
      </c>
      <c r="F32" s="265">
        <f>VLOOKUP(B32,'Salary -Dec-2024 (Full)'!$B$6:$AE$383,5,0)</f>
        <v>44640</v>
      </c>
      <c r="G32" s="257">
        <f>VLOOKUP(B32,'Salary -Dec-2024 (Full)'!$B$6:$AE$286,6,0)</f>
        <v>31</v>
      </c>
      <c r="H32" s="258">
        <f>VLOOKUP(B32,'Salary -Dec-2024 (Full)'!$B$6:$AE$383,7,0)</f>
        <v>0</v>
      </c>
      <c r="I32" s="66">
        <f t="shared" si="61"/>
        <v>31</v>
      </c>
      <c r="J32" s="67">
        <f t="shared" si="62"/>
        <v>684.19354838709683</v>
      </c>
      <c r="K32" s="68">
        <f>VLOOKUP(B32,'Salary -Dec-2024 (Full)'!$B$6:$AE$383,10,0)</f>
        <v>21210</v>
      </c>
      <c r="L32" s="68">
        <f t="shared" si="63"/>
        <v>12726</v>
      </c>
      <c r="M32" s="68">
        <f t="shared" si="64"/>
        <v>6363</v>
      </c>
      <c r="N32" s="68">
        <f t="shared" si="65"/>
        <v>1272.5999999999999</v>
      </c>
      <c r="O32" s="68">
        <f t="shared" si="66"/>
        <v>848.4</v>
      </c>
      <c r="P32" s="69"/>
      <c r="Q32" s="70">
        <f t="shared" si="67"/>
        <v>21210</v>
      </c>
      <c r="R32" s="70">
        <f>VLOOKUP(B32,'Salary -Dec-2024 (Full)'!$B$6:$AE$383,17,0)</f>
        <v>21210</v>
      </c>
      <c r="S32" s="192">
        <f>VLOOKUP(B32,'Salary -Dec-2024 (Full)'!$B$6:$AE$383,18,0)</f>
        <v>0</v>
      </c>
      <c r="T32" s="192">
        <f>VLOOKUP(B32,'Salary -Dec-2024 (Full)'!$B$6:$AE$383,19,0)</f>
        <v>0</v>
      </c>
      <c r="U32" s="337">
        <f>VLOOKUP(B32,'Salary -Dec-2024 (Full)'!$B$6:$AE$383,20,0)</f>
        <v>0</v>
      </c>
      <c r="V32" s="71">
        <f t="shared" si="68"/>
        <v>21210</v>
      </c>
      <c r="W32" s="192">
        <f>VLOOKUP(B32,'Salary -Dec-2024 (Full)'!$B$6:$AE$383,22,0)</f>
        <v>0</v>
      </c>
      <c r="X32" s="192">
        <f>VLOOKUP(B32,'Salary -Dec-2024 (Full)'!$B$6:$AE$383,23,0)</f>
        <v>0</v>
      </c>
      <c r="Y32" s="337">
        <f>VLOOKUP(B32,'Salary -Dec-2024 (Full)'!$B$6:$AE$383,24,0)</f>
        <v>636</v>
      </c>
      <c r="Z32" s="192">
        <f>VLOOKUP(B32,'Salary -Dec-2024 (Full)'!$B$6:$AE$383,25,0)</f>
        <v>842</v>
      </c>
      <c r="AA32" s="192">
        <f>VLOOKUP(B32,'Salary -Dec-2024 (Full)'!$B$6:$AE$383,26,0)</f>
        <v>0</v>
      </c>
      <c r="AB32" s="73">
        <f t="shared" si="69"/>
        <v>1478</v>
      </c>
      <c r="AC32" s="73">
        <f t="shared" si="70"/>
        <v>19732</v>
      </c>
      <c r="AD32" s="74" t="str">
        <f>VLOOKUP(B32,'Salary -Dec-2024 (Full)'!$B$6:$AE$383,29,0)</f>
        <v>Bank</v>
      </c>
      <c r="AE32" s="618" t="str">
        <f>VLOOKUP(B32,'Salary -Dec-2024 (Full)'!$B$6:$AE$2853,30,0)</f>
        <v>263.158.0023293</v>
      </c>
      <c r="AF32" s="800"/>
      <c r="AG32" s="800"/>
      <c r="AJ32" s="183"/>
      <c r="AK32" s="320"/>
    </row>
    <row r="33" spans="1:37" s="61" customFormat="1" ht="24" customHeight="1">
      <c r="A33" s="62">
        <v>6</v>
      </c>
      <c r="B33" s="63" t="s">
        <v>123</v>
      </c>
      <c r="C33" s="255" t="str">
        <f>VLOOKUP(B33,'Salary -Dec-2024 (Full)'!$B$6:$D$383,2,0)</f>
        <v>Esmail Hossain</v>
      </c>
      <c r="D33" s="278" t="str">
        <f>VLOOKUP(B33,'Salary -Dec-2024 (Full)'!$B$6:$D$383,3,0)</f>
        <v>Jr. Mechanic</v>
      </c>
      <c r="E33" s="256" t="str">
        <f>VLOOKUP(B33,'Salary -Dec-2024 (Full)'!$B$6:$AE$383,4,0)</f>
        <v>Technical</v>
      </c>
      <c r="F33" s="265">
        <f>VLOOKUP(B33,'Salary -Dec-2024 (Full)'!$B$6:$AE$383,5,0)</f>
        <v>44655</v>
      </c>
      <c r="G33" s="257">
        <f>VLOOKUP(B33,'Salary -Dec-2024 (Full)'!$B$6:$AE$286,6,0)</f>
        <v>31</v>
      </c>
      <c r="H33" s="258">
        <f>VLOOKUP(B33,'Salary -Dec-2024 (Full)'!$B$6:$AE$383,7,0)</f>
        <v>0</v>
      </c>
      <c r="I33" s="66">
        <f t="shared" ref="I33:I39" si="71">G33-H33</f>
        <v>31</v>
      </c>
      <c r="J33" s="67">
        <f t="shared" ref="J33:J39" si="72">Q33/G33</f>
        <v>550</v>
      </c>
      <c r="K33" s="68">
        <f>VLOOKUP(B33,'Salary -Dec-2024 (Full)'!$B$6:$AE$383,10,0)</f>
        <v>17050</v>
      </c>
      <c r="L33" s="68">
        <f t="shared" ref="L33:L39" si="73">K33*60%</f>
        <v>10230</v>
      </c>
      <c r="M33" s="68">
        <f t="shared" ref="M33:M39" si="74">K33*30%</f>
        <v>5115</v>
      </c>
      <c r="N33" s="68">
        <f t="shared" ref="N33:N39" si="75">K33*6%</f>
        <v>1023</v>
      </c>
      <c r="O33" s="68">
        <f t="shared" ref="O33:O39" si="76">K33*4%</f>
        <v>682</v>
      </c>
      <c r="P33" s="69"/>
      <c r="Q33" s="70">
        <f t="shared" si="67"/>
        <v>17050</v>
      </c>
      <c r="R33" s="70">
        <f>VLOOKUP(B33,'Salary -Dec-2024 (Full)'!$B$6:$AE$383,17,0)</f>
        <v>17050</v>
      </c>
      <c r="S33" s="192">
        <f>VLOOKUP(B33,'Salary -Dec-2024 (Full)'!$B$6:$AE$383,18,0)</f>
        <v>0</v>
      </c>
      <c r="T33" s="192">
        <f>VLOOKUP(B33,'Salary -Dec-2024 (Full)'!$B$6:$AE$383,19,0)</f>
        <v>0</v>
      </c>
      <c r="U33" s="337">
        <f>VLOOKUP(B33,'Salary -Dec-2024 (Full)'!$B$6:$AE$383,20,0)</f>
        <v>0</v>
      </c>
      <c r="V33" s="71">
        <f t="shared" si="68"/>
        <v>17050</v>
      </c>
      <c r="W33" s="192">
        <f>VLOOKUP(B33,'Salary -Dec-2024 (Full)'!$B$6:$AE$383,22,0)</f>
        <v>0</v>
      </c>
      <c r="X33" s="192">
        <f>VLOOKUP(B33,'Salary -Dec-2024 (Full)'!$B$6:$AE$383,23,0)</f>
        <v>0</v>
      </c>
      <c r="Y33" s="337">
        <f>VLOOKUP(B33,'Salary -Dec-2024 (Full)'!$B$6:$AE$383,24,0)</f>
        <v>512</v>
      </c>
      <c r="Z33" s="192">
        <f>VLOOKUP(B33,'Salary -Dec-2024 (Full)'!$B$6:$AE$383,25,0)</f>
        <v>842</v>
      </c>
      <c r="AA33" s="192">
        <f>VLOOKUP(B33,'Salary -Dec-2024 (Full)'!$B$6:$AE$383,26,0)</f>
        <v>0</v>
      </c>
      <c r="AB33" s="73">
        <f t="shared" si="69"/>
        <v>1354</v>
      </c>
      <c r="AC33" s="73">
        <f t="shared" si="70"/>
        <v>15696</v>
      </c>
      <c r="AD33" s="74" t="str">
        <f>VLOOKUP(B33,'Salary -Dec-2024 (Full)'!$B$6:$AE$383,29,0)</f>
        <v>Bank</v>
      </c>
      <c r="AE33" s="618" t="str">
        <f>VLOOKUP(B33,'Salary -Dec-2024 (Full)'!$B$6:$AE$2853,30,0)</f>
        <v>226.158.0014342</v>
      </c>
      <c r="AF33" s="800"/>
      <c r="AG33" s="800"/>
      <c r="AJ33" s="183"/>
      <c r="AK33" s="320"/>
    </row>
    <row r="34" spans="1:37" s="61" customFormat="1" ht="24" customHeight="1">
      <c r="A34" s="62">
        <v>7</v>
      </c>
      <c r="B34" s="63" t="s">
        <v>126</v>
      </c>
      <c r="C34" s="255" t="str">
        <f>VLOOKUP(B34,'Salary -Dec-2024 (Full)'!$B$6:$D$383,2,0)</f>
        <v>Md. Emran Hosen</v>
      </c>
      <c r="D34" s="278" t="str">
        <f>VLOOKUP(B34,'Salary -Dec-2024 (Full)'!$B$6:$D$383,3,0)</f>
        <v>Jr. Mechanic</v>
      </c>
      <c r="E34" s="256" t="str">
        <f>VLOOKUP(B34,'Salary -Dec-2024 (Full)'!$B$6:$AE$383,4,0)</f>
        <v>Technical</v>
      </c>
      <c r="F34" s="265">
        <f>VLOOKUP(B34,'Salary -Dec-2024 (Full)'!$B$6:$AE$383,5,0)</f>
        <v>44655</v>
      </c>
      <c r="G34" s="257">
        <f>VLOOKUP(B34,'Salary -Dec-2024 (Full)'!$B$6:$AE$286,6,0)</f>
        <v>31</v>
      </c>
      <c r="H34" s="258">
        <f>VLOOKUP(B34,'Salary -Dec-2024 (Full)'!$B$6:$AE$383,7,0)</f>
        <v>0</v>
      </c>
      <c r="I34" s="66">
        <f t="shared" si="71"/>
        <v>31</v>
      </c>
      <c r="J34" s="67">
        <f t="shared" si="72"/>
        <v>551.61290322580646</v>
      </c>
      <c r="K34" s="68">
        <f>VLOOKUP(B34,'Salary -Dec-2024 (Full)'!$B$6:$AE$383,10,0)</f>
        <v>17100</v>
      </c>
      <c r="L34" s="68">
        <f t="shared" si="73"/>
        <v>10260</v>
      </c>
      <c r="M34" s="68">
        <f t="shared" si="74"/>
        <v>5130</v>
      </c>
      <c r="N34" s="68">
        <f t="shared" si="75"/>
        <v>1026</v>
      </c>
      <c r="O34" s="68">
        <f t="shared" si="76"/>
        <v>684</v>
      </c>
      <c r="P34" s="69"/>
      <c r="Q34" s="70">
        <f t="shared" si="67"/>
        <v>17100</v>
      </c>
      <c r="R34" s="70">
        <f>VLOOKUP(B34,'Salary -Dec-2024 (Full)'!$B$6:$AE$383,17,0)</f>
        <v>17100</v>
      </c>
      <c r="S34" s="192">
        <f>VLOOKUP(B34,'Salary -Dec-2024 (Full)'!$B$6:$AE$383,18,0)</f>
        <v>0</v>
      </c>
      <c r="T34" s="192">
        <f>VLOOKUP(B34,'Salary -Dec-2024 (Full)'!$B$6:$AE$383,19,0)</f>
        <v>0</v>
      </c>
      <c r="U34" s="337">
        <f>VLOOKUP(B34,'Salary -Dec-2024 (Full)'!$B$6:$AE$383,20,0)</f>
        <v>0</v>
      </c>
      <c r="V34" s="71">
        <f t="shared" si="68"/>
        <v>17100</v>
      </c>
      <c r="W34" s="192">
        <f>VLOOKUP(B34,'Salary -Dec-2024 (Full)'!$B$6:$AE$383,22,0)</f>
        <v>0</v>
      </c>
      <c r="X34" s="192">
        <f>VLOOKUP(B34,'Salary -Dec-2024 (Full)'!$B$6:$AE$383,23,0)</f>
        <v>0</v>
      </c>
      <c r="Y34" s="337">
        <f>VLOOKUP(B34,'Salary -Dec-2024 (Full)'!$B$6:$AE$383,24,0)</f>
        <v>513</v>
      </c>
      <c r="Z34" s="192">
        <f>VLOOKUP(B34,'Salary -Dec-2024 (Full)'!$B$6:$AE$383,25,0)</f>
        <v>842</v>
      </c>
      <c r="AA34" s="192">
        <f>VLOOKUP(B34,'Salary -Dec-2024 (Full)'!$B$6:$AE$383,26,0)</f>
        <v>0</v>
      </c>
      <c r="AB34" s="73">
        <f t="shared" ref="AB34:AB44" si="77">SUM(W34:AA34)</f>
        <v>1355</v>
      </c>
      <c r="AC34" s="73">
        <f t="shared" ref="AC34:AC44" si="78">ROUND(V34-AB34,0)</f>
        <v>15745</v>
      </c>
      <c r="AD34" s="74" t="str">
        <f>VLOOKUP(B34,'Salary -Dec-2024 (Full)'!$B$6:$AE$383,29,0)</f>
        <v>Bank</v>
      </c>
      <c r="AE34" s="618" t="str">
        <f>VLOOKUP(B34,'Salary -Dec-2024 (Full)'!$B$6:$AE$2853,30,0)</f>
        <v>204.103.0058985</v>
      </c>
      <c r="AF34" s="800"/>
      <c r="AG34" s="800"/>
      <c r="AJ34" s="183"/>
      <c r="AK34" s="320"/>
    </row>
    <row r="35" spans="1:37" s="61" customFormat="1" ht="24" customHeight="1">
      <c r="A35" s="62">
        <v>8</v>
      </c>
      <c r="B35" s="63" t="s">
        <v>132</v>
      </c>
      <c r="C35" s="255" t="str">
        <f>VLOOKUP(B35,'Salary -Dec-2024 (Full)'!$B$6:$D$383,2,0)</f>
        <v>Aklas Ahmed</v>
      </c>
      <c r="D35" s="278" t="str">
        <f>VLOOKUP(B35,'Salary -Dec-2024 (Full)'!$B$6:$D$383,3,0)</f>
        <v>Mechanic</v>
      </c>
      <c r="E35" s="256" t="str">
        <f>VLOOKUP(B35,'Salary -Dec-2024 (Full)'!$B$6:$AE$383,4,0)</f>
        <v>Technical</v>
      </c>
      <c r="F35" s="265">
        <f>VLOOKUP(B35,'Salary -Dec-2024 (Full)'!$B$6:$AE$383,5,0)</f>
        <v>44658</v>
      </c>
      <c r="G35" s="257">
        <f>VLOOKUP(B35,'Salary -Dec-2024 (Full)'!$B$6:$AE$286,6,0)</f>
        <v>31</v>
      </c>
      <c r="H35" s="258">
        <f>VLOOKUP(B35,'Salary -Dec-2024 (Full)'!$B$6:$AE$383,7,0)</f>
        <v>0</v>
      </c>
      <c r="I35" s="66">
        <f t="shared" si="71"/>
        <v>31</v>
      </c>
      <c r="J35" s="67">
        <f t="shared" si="72"/>
        <v>559.67741935483866</v>
      </c>
      <c r="K35" s="68">
        <f>VLOOKUP(B35,'Salary -Dec-2024 (Full)'!$B$6:$AE$383,10,0)</f>
        <v>17350</v>
      </c>
      <c r="L35" s="68">
        <f t="shared" si="73"/>
        <v>10410</v>
      </c>
      <c r="M35" s="68">
        <f t="shared" si="74"/>
        <v>5205</v>
      </c>
      <c r="N35" s="68">
        <f t="shared" si="75"/>
        <v>1041</v>
      </c>
      <c r="O35" s="68">
        <f t="shared" si="76"/>
        <v>694</v>
      </c>
      <c r="P35" s="69"/>
      <c r="Q35" s="70">
        <f t="shared" si="67"/>
        <v>17350</v>
      </c>
      <c r="R35" s="70">
        <f>VLOOKUP(B35,'Salary -Dec-2024 (Full)'!$B$6:$AE$383,17,0)</f>
        <v>17350</v>
      </c>
      <c r="S35" s="192">
        <f>VLOOKUP(B35,'Salary -Dec-2024 (Full)'!$B$6:$AE$383,18,0)</f>
        <v>0</v>
      </c>
      <c r="T35" s="192">
        <f>VLOOKUP(B35,'Salary -Dec-2024 (Full)'!$B$6:$AE$383,19,0)</f>
        <v>0</v>
      </c>
      <c r="U35" s="337">
        <f>VLOOKUP(B35,'Salary -Dec-2024 (Full)'!$B$6:$AE$383,20,0)</f>
        <v>0</v>
      </c>
      <c r="V35" s="71">
        <f t="shared" si="68"/>
        <v>17350</v>
      </c>
      <c r="W35" s="192">
        <f>VLOOKUP(B35,'Salary -Dec-2024 (Full)'!$B$6:$AE$383,22,0)</f>
        <v>0</v>
      </c>
      <c r="X35" s="192">
        <f>VLOOKUP(B35,'Salary -Dec-2024 (Full)'!$B$6:$AE$383,23,0)</f>
        <v>0</v>
      </c>
      <c r="Y35" s="337">
        <f>VLOOKUP(B35,'Salary -Dec-2024 (Full)'!$B$6:$AE$383,24,0)</f>
        <v>521</v>
      </c>
      <c r="Z35" s="192">
        <f>VLOOKUP(B35,'Salary -Dec-2024 (Full)'!$B$6:$AE$383,25,0)</f>
        <v>0</v>
      </c>
      <c r="AA35" s="192">
        <f>VLOOKUP(B35,'Salary -Dec-2024 (Full)'!$B$6:$AE$383,26,0)</f>
        <v>0</v>
      </c>
      <c r="AB35" s="73">
        <f t="shared" si="77"/>
        <v>521</v>
      </c>
      <c r="AC35" s="73">
        <f t="shared" si="78"/>
        <v>16829</v>
      </c>
      <c r="AD35" s="74" t="str">
        <f>VLOOKUP(B35,'Salary -Dec-2024 (Full)'!$B$6:$AE$383,29,0)</f>
        <v>Bank</v>
      </c>
      <c r="AE35" s="618" t="str">
        <f>VLOOKUP(B35,'Salary -Dec-2024 (Full)'!$B$6:$AE$2853,30,0)</f>
        <v>289.103.0001794</v>
      </c>
      <c r="AF35" s="800"/>
      <c r="AG35" s="800"/>
      <c r="AJ35" s="183"/>
      <c r="AK35" s="320"/>
    </row>
    <row r="36" spans="1:37" s="47" customFormat="1" ht="24" customHeight="1">
      <c r="A36" s="62">
        <v>9</v>
      </c>
      <c r="B36" s="254" t="s">
        <v>142</v>
      </c>
      <c r="C36" s="255" t="str">
        <f>VLOOKUP(B36,'Salary -Dec-2024 (Full)'!$B$6:$D$383,2,0)</f>
        <v>Md. Rakib Uddin</v>
      </c>
      <c r="D36" s="278" t="str">
        <f>VLOOKUP(B36,'Salary -Dec-2024 (Full)'!$B$6:$D$383,3,0)</f>
        <v>Mechanic</v>
      </c>
      <c r="E36" s="256" t="str">
        <f>VLOOKUP(B36,'Salary -Dec-2024 (Full)'!$B$6:$AE$383,4,0)</f>
        <v>Technical</v>
      </c>
      <c r="F36" s="265">
        <f>VLOOKUP(B36,'Salary -Dec-2024 (Full)'!$B$6:$AE$383,5,0)</f>
        <v>44669</v>
      </c>
      <c r="G36" s="257">
        <f>VLOOKUP(B36,'Salary -Dec-2024 (Full)'!$B$6:$AE$286,6,0)</f>
        <v>31</v>
      </c>
      <c r="H36" s="258">
        <f>VLOOKUP(B36,'Salary -Dec-2024 (Full)'!$B$6:$AE$383,7,0)</f>
        <v>0</v>
      </c>
      <c r="I36" s="66">
        <f t="shared" si="71"/>
        <v>31</v>
      </c>
      <c r="J36" s="67">
        <f t="shared" si="72"/>
        <v>597.41935483870964</v>
      </c>
      <c r="K36" s="68">
        <f>VLOOKUP(B36,'Salary -Dec-2024 (Full)'!$B$6:$AE$383,10,0)</f>
        <v>18520</v>
      </c>
      <c r="L36" s="68">
        <f t="shared" si="73"/>
        <v>11112</v>
      </c>
      <c r="M36" s="68">
        <f t="shared" si="74"/>
        <v>5556</v>
      </c>
      <c r="N36" s="68">
        <f t="shared" si="75"/>
        <v>1111.2</v>
      </c>
      <c r="O36" s="68">
        <f t="shared" si="76"/>
        <v>740.80000000000007</v>
      </c>
      <c r="P36" s="259"/>
      <c r="Q36" s="70">
        <f t="shared" ref="Q36:Q42" si="79">SUM(L36:P36)</f>
        <v>18520</v>
      </c>
      <c r="R36" s="70">
        <f>VLOOKUP(B36,'Salary -Dec-2024 (Full)'!$B$6:$AE$383,17,0)</f>
        <v>18520</v>
      </c>
      <c r="S36" s="192">
        <f>VLOOKUP(B36,'Salary -Dec-2024 (Full)'!$B$6:$AE$383,18,0)</f>
        <v>0</v>
      </c>
      <c r="T36" s="192">
        <f>VLOOKUP(B36,'Salary -Dec-2024 (Full)'!$B$6:$AE$383,19,0)</f>
        <v>0</v>
      </c>
      <c r="U36" s="337">
        <f>VLOOKUP(B36,'Salary -Dec-2024 (Full)'!$B$6:$AE$383,20,0)</f>
        <v>0</v>
      </c>
      <c r="V36" s="263">
        <f t="shared" si="68"/>
        <v>18520</v>
      </c>
      <c r="W36" s="192">
        <f>VLOOKUP(B36,'Salary -Dec-2024 (Full)'!$B$6:$AE$383,22,0)</f>
        <v>0</v>
      </c>
      <c r="X36" s="192">
        <f>VLOOKUP(B36,'Salary -Dec-2024 (Full)'!$B$6:$AE$383,23,0)</f>
        <v>0</v>
      </c>
      <c r="Y36" s="337">
        <f>VLOOKUP(B36,'Salary -Dec-2024 (Full)'!$B$6:$AE$383,24,0)</f>
        <v>556</v>
      </c>
      <c r="Z36" s="192">
        <f>VLOOKUP(B36,'Salary -Dec-2024 (Full)'!$B$6:$AE$383,25,0)</f>
        <v>2000</v>
      </c>
      <c r="AA36" s="192">
        <f>VLOOKUP(B36,'Salary -Dec-2024 (Full)'!$B$6:$AE$383,26,0)</f>
        <v>0</v>
      </c>
      <c r="AB36" s="73">
        <f t="shared" si="77"/>
        <v>2556</v>
      </c>
      <c r="AC36" s="73">
        <f t="shared" si="78"/>
        <v>15964</v>
      </c>
      <c r="AD36" s="74" t="str">
        <f>VLOOKUP(B36,'Salary -Dec-2024 (Full)'!$B$6:$AE$383,29,0)</f>
        <v>Bank</v>
      </c>
      <c r="AE36" s="618" t="str">
        <f>VLOOKUP(B36,'Salary -Dec-2024 (Full)'!$B$6:$AE$2853,30,0)</f>
        <v>289.103.0001908</v>
      </c>
      <c r="AF36" s="800"/>
      <c r="AG36" s="800"/>
      <c r="AH36" s="61"/>
      <c r="AI36" s="61"/>
      <c r="AJ36" s="183"/>
      <c r="AK36" s="320"/>
    </row>
    <row r="37" spans="1:37" s="61" customFormat="1" ht="24" customHeight="1">
      <c r="A37" s="62">
        <v>10</v>
      </c>
      <c r="B37" s="63" t="s">
        <v>145</v>
      </c>
      <c r="C37" s="255" t="str">
        <f>VLOOKUP(B37,'Salary -Dec-2024 (Full)'!$B$6:$D$383,2,0)</f>
        <v>Md. Sabbir Hossen Ripon</v>
      </c>
      <c r="D37" s="278" t="str">
        <f>VLOOKUP(B37,'Salary -Dec-2024 (Full)'!$B$6:$D$383,3,0)</f>
        <v>Jr. Mechanic</v>
      </c>
      <c r="E37" s="256" t="str">
        <f>VLOOKUP(B37,'Salary -Dec-2024 (Full)'!$B$6:$AE$383,4,0)</f>
        <v>Technical</v>
      </c>
      <c r="F37" s="265">
        <f>VLOOKUP(B37,'Salary -Dec-2024 (Full)'!$B$6:$AE$383,5,0)</f>
        <v>44673</v>
      </c>
      <c r="G37" s="257">
        <f>VLOOKUP(B37,'Salary -Dec-2024 (Full)'!$B$6:$AE$286,6,0)</f>
        <v>31</v>
      </c>
      <c r="H37" s="258">
        <f>VLOOKUP(B37,'Salary -Dec-2024 (Full)'!$B$6:$AE$383,7,0)</f>
        <v>0</v>
      </c>
      <c r="I37" s="66">
        <f t="shared" si="71"/>
        <v>31</v>
      </c>
      <c r="J37" s="67">
        <f t="shared" si="72"/>
        <v>550</v>
      </c>
      <c r="K37" s="68">
        <f>VLOOKUP(B37,'Salary -Dec-2024 (Full)'!$B$6:$AE$383,10,0)</f>
        <v>17050</v>
      </c>
      <c r="L37" s="68">
        <f t="shared" si="73"/>
        <v>10230</v>
      </c>
      <c r="M37" s="68">
        <f t="shared" si="74"/>
        <v>5115</v>
      </c>
      <c r="N37" s="68">
        <f t="shared" si="75"/>
        <v>1023</v>
      </c>
      <c r="O37" s="68">
        <f t="shared" si="76"/>
        <v>682</v>
      </c>
      <c r="P37" s="69"/>
      <c r="Q37" s="70">
        <f t="shared" si="79"/>
        <v>17050</v>
      </c>
      <c r="R37" s="70">
        <f>VLOOKUP(B37,'Salary -Dec-2024 (Full)'!$B$6:$AE$383,17,0)</f>
        <v>17050</v>
      </c>
      <c r="S37" s="192">
        <f>VLOOKUP(B37,'Salary -Dec-2024 (Full)'!$B$6:$AE$383,18,0)</f>
        <v>0</v>
      </c>
      <c r="T37" s="192">
        <f>VLOOKUP(B37,'Salary -Dec-2024 (Full)'!$B$6:$AE$383,19,0)</f>
        <v>0</v>
      </c>
      <c r="U37" s="337">
        <f>VLOOKUP(B37,'Salary -Dec-2024 (Full)'!$B$6:$AE$383,20,0)</f>
        <v>0</v>
      </c>
      <c r="V37" s="263">
        <f t="shared" ref="V37" si="80">SUM(R37:U37)</f>
        <v>17050</v>
      </c>
      <c r="W37" s="192">
        <f>VLOOKUP(B37,'Salary -Dec-2024 (Full)'!$B$6:$AE$383,22,0)</f>
        <v>0</v>
      </c>
      <c r="X37" s="192">
        <f>VLOOKUP(B37,'Salary -Dec-2024 (Full)'!$B$6:$AE$383,23,0)</f>
        <v>0</v>
      </c>
      <c r="Y37" s="337">
        <f>VLOOKUP(B37,'Salary -Dec-2024 (Full)'!$B$6:$AE$383,24,0)</f>
        <v>512</v>
      </c>
      <c r="Z37" s="192">
        <f>VLOOKUP(B37,'Salary -Dec-2024 (Full)'!$B$6:$AE$383,25,0)</f>
        <v>2000</v>
      </c>
      <c r="AA37" s="192">
        <f>VLOOKUP(B37,'Salary -Dec-2024 (Full)'!$B$6:$AE$383,26,0)</f>
        <v>0</v>
      </c>
      <c r="AB37" s="73">
        <f t="shared" si="77"/>
        <v>2512</v>
      </c>
      <c r="AC37" s="73">
        <f t="shared" si="78"/>
        <v>14538</v>
      </c>
      <c r="AD37" s="74" t="str">
        <f>VLOOKUP(B37,'Salary -Dec-2024 (Full)'!$B$6:$AE$383,29,0)</f>
        <v>Bank</v>
      </c>
      <c r="AE37" s="618" t="str">
        <f>VLOOKUP(B37,'Salary -Dec-2024 (Full)'!$B$6:$AE$2853,30,0)</f>
        <v>120.151.0515500</v>
      </c>
      <c r="AF37" s="800"/>
      <c r="AG37" s="800"/>
      <c r="AJ37" s="183"/>
      <c r="AK37" s="320"/>
    </row>
    <row r="38" spans="1:37" s="61" customFormat="1" ht="24" customHeight="1">
      <c r="A38" s="62">
        <v>11</v>
      </c>
      <c r="B38" s="63" t="s">
        <v>151</v>
      </c>
      <c r="C38" s="255" t="str">
        <f>VLOOKUP(B38,'Salary -Dec-2024 (Full)'!$B$6:$D$383,2,0)</f>
        <v>Abdul Wadud</v>
      </c>
      <c r="D38" s="278" t="str">
        <f>VLOOKUP(B38,'Salary -Dec-2024 (Full)'!$B$6:$D$383,3,0)</f>
        <v>Asst. Mechanic</v>
      </c>
      <c r="E38" s="256" t="str">
        <f>VLOOKUP(B38,'Salary -Dec-2024 (Full)'!$B$6:$AE$383,4,0)</f>
        <v>Technical</v>
      </c>
      <c r="F38" s="265">
        <f>VLOOKUP(B38,'Salary -Dec-2024 (Full)'!$B$6:$AE$383,5,0)</f>
        <v>44701</v>
      </c>
      <c r="G38" s="257">
        <f>VLOOKUP(B38,'Salary -Dec-2024 (Full)'!$B$6:$AE$286,6,0)</f>
        <v>31</v>
      </c>
      <c r="H38" s="258">
        <f>VLOOKUP(B38,'Salary -Dec-2024 (Full)'!$B$6:$AE$383,7,0)</f>
        <v>8</v>
      </c>
      <c r="I38" s="66">
        <f t="shared" si="71"/>
        <v>23</v>
      </c>
      <c r="J38" s="67">
        <f t="shared" si="72"/>
        <v>599.0322580645161</v>
      </c>
      <c r="K38" s="68">
        <f>VLOOKUP(B38,'Salary -Dec-2024 (Full)'!$B$6:$AE$383,10,0)</f>
        <v>18570</v>
      </c>
      <c r="L38" s="68">
        <f t="shared" si="73"/>
        <v>11142</v>
      </c>
      <c r="M38" s="68">
        <f t="shared" si="74"/>
        <v>5571</v>
      </c>
      <c r="N38" s="68">
        <f t="shared" si="75"/>
        <v>1114.2</v>
      </c>
      <c r="O38" s="68">
        <f t="shared" si="76"/>
        <v>742.80000000000007</v>
      </c>
      <c r="P38" s="69"/>
      <c r="Q38" s="70">
        <f t="shared" si="79"/>
        <v>18570</v>
      </c>
      <c r="R38" s="70">
        <f>VLOOKUP(B38,'Salary -Dec-2024 (Full)'!$B$6:$AE$383,17,0)</f>
        <v>13778</v>
      </c>
      <c r="S38" s="192">
        <f>VLOOKUP(B38,'Salary -Dec-2024 (Full)'!$B$6:$AE$383,18,0)</f>
        <v>0</v>
      </c>
      <c r="T38" s="192">
        <f>VLOOKUP(B38,'Salary -Dec-2024 (Full)'!$B$6:$AE$383,19,0)</f>
        <v>0</v>
      </c>
      <c r="U38" s="337">
        <f>VLOOKUP(B38,'Salary -Dec-2024 (Full)'!$B$6:$AE$383,20,0)</f>
        <v>0</v>
      </c>
      <c r="V38" s="71">
        <f t="shared" si="68"/>
        <v>13778</v>
      </c>
      <c r="W38" s="192">
        <f>VLOOKUP(B38,'Salary -Dec-2024 (Full)'!$B$6:$AE$383,22,0)</f>
        <v>0</v>
      </c>
      <c r="X38" s="192">
        <f>VLOOKUP(B38,'Salary -Dec-2024 (Full)'!$B$6:$AE$383,23,0)</f>
        <v>0</v>
      </c>
      <c r="Y38" s="337">
        <f>VLOOKUP(B38,'Salary -Dec-2024 (Full)'!$B$6:$AE$383,24,0)</f>
        <v>557</v>
      </c>
      <c r="Z38" s="192">
        <f>VLOOKUP(B38,'Salary -Dec-2024 (Full)'!$B$6:$AE$383,25,0)</f>
        <v>0</v>
      </c>
      <c r="AA38" s="192">
        <f>VLOOKUP(B38,'Salary -Dec-2024 (Full)'!$B$6:$AE$383,26,0)</f>
        <v>0</v>
      </c>
      <c r="AB38" s="73">
        <f t="shared" si="77"/>
        <v>557</v>
      </c>
      <c r="AC38" s="73">
        <f t="shared" si="78"/>
        <v>13221</v>
      </c>
      <c r="AD38" s="74" t="str">
        <f>VLOOKUP(B38,'Salary -Dec-2024 (Full)'!$B$6:$AE$383,29,0)</f>
        <v>Bank</v>
      </c>
      <c r="AE38" s="618" t="str">
        <f>VLOOKUP(B38,'Salary -Dec-2024 (Full)'!$B$6:$AE$2853,30,0)</f>
        <v>226.158.0014358</v>
      </c>
      <c r="AF38" s="800"/>
      <c r="AG38" s="800"/>
      <c r="AJ38" s="183"/>
      <c r="AK38" s="320"/>
    </row>
    <row r="39" spans="1:37" s="61" customFormat="1" ht="24" customHeight="1">
      <c r="A39" s="62">
        <v>12</v>
      </c>
      <c r="B39" s="63" t="s">
        <v>160</v>
      </c>
      <c r="C39" s="255" t="str">
        <f>VLOOKUP(B39,'Salary -Dec-2024 (Full)'!$B$6:$D$383,2,0)</f>
        <v>Md. Insan Ali</v>
      </c>
      <c r="D39" s="278" t="str">
        <f>VLOOKUP(B39,'Salary -Dec-2024 (Full)'!$B$6:$D$383,3,0)</f>
        <v>Jr. Mechanic</v>
      </c>
      <c r="E39" s="256" t="str">
        <f>VLOOKUP(B39,'Salary -Dec-2024 (Full)'!$B$6:$AE$383,4,0)</f>
        <v>Technical</v>
      </c>
      <c r="F39" s="265">
        <f>VLOOKUP(B39,'Salary -Dec-2024 (Full)'!$B$6:$AE$383,5,0)</f>
        <v>44713</v>
      </c>
      <c r="G39" s="257">
        <f>VLOOKUP(B39,'Salary -Dec-2024 (Full)'!$B$6:$AE$286,6,0)</f>
        <v>31</v>
      </c>
      <c r="H39" s="258">
        <f>VLOOKUP(B39,'Salary -Dec-2024 (Full)'!$B$6:$AE$383,7,0)</f>
        <v>0</v>
      </c>
      <c r="I39" s="66">
        <f t="shared" si="71"/>
        <v>31</v>
      </c>
      <c r="J39" s="67">
        <f t="shared" si="72"/>
        <v>550</v>
      </c>
      <c r="K39" s="68">
        <f>VLOOKUP(B39,'Salary -Dec-2024 (Full)'!$B$6:$AE$383,10,0)</f>
        <v>17050</v>
      </c>
      <c r="L39" s="68">
        <f t="shared" si="73"/>
        <v>10230</v>
      </c>
      <c r="M39" s="68">
        <f t="shared" si="74"/>
        <v>5115</v>
      </c>
      <c r="N39" s="68">
        <f t="shared" si="75"/>
        <v>1023</v>
      </c>
      <c r="O39" s="68">
        <f t="shared" si="76"/>
        <v>682</v>
      </c>
      <c r="P39" s="69"/>
      <c r="Q39" s="70">
        <f t="shared" si="79"/>
        <v>17050</v>
      </c>
      <c r="R39" s="70">
        <f>VLOOKUP(B39,'Salary -Dec-2024 (Full)'!$B$6:$AE$383,17,0)</f>
        <v>17050</v>
      </c>
      <c r="S39" s="192">
        <f>VLOOKUP(B39,'Salary -Dec-2024 (Full)'!$B$6:$AE$383,18,0)</f>
        <v>0</v>
      </c>
      <c r="T39" s="192">
        <f>VLOOKUP(B39,'Salary -Dec-2024 (Full)'!$B$6:$AE$383,19,0)</f>
        <v>0</v>
      </c>
      <c r="U39" s="337">
        <f>VLOOKUP(B39,'Salary -Dec-2024 (Full)'!$B$6:$AE$383,20,0)</f>
        <v>0</v>
      </c>
      <c r="V39" s="71">
        <f t="shared" si="68"/>
        <v>17050</v>
      </c>
      <c r="W39" s="192">
        <f>VLOOKUP(B39,'Salary -Dec-2024 (Full)'!$B$6:$AE$383,22,0)</f>
        <v>0</v>
      </c>
      <c r="X39" s="192">
        <f>VLOOKUP(B39,'Salary -Dec-2024 (Full)'!$B$6:$AE$383,23,0)</f>
        <v>0</v>
      </c>
      <c r="Y39" s="337">
        <f>VLOOKUP(B39,'Salary -Dec-2024 (Full)'!$B$6:$AE$383,24,0)</f>
        <v>512</v>
      </c>
      <c r="Z39" s="192">
        <f>VLOOKUP(B39,'Salary -Dec-2024 (Full)'!$B$6:$AE$383,25,0)</f>
        <v>842</v>
      </c>
      <c r="AA39" s="192">
        <f>VLOOKUP(B39,'Salary -Dec-2024 (Full)'!$B$6:$AE$383,26,0)</f>
        <v>0</v>
      </c>
      <c r="AB39" s="73">
        <f t="shared" si="77"/>
        <v>1354</v>
      </c>
      <c r="AC39" s="73">
        <f t="shared" si="78"/>
        <v>15696</v>
      </c>
      <c r="AD39" s="74" t="str">
        <f>VLOOKUP(B39,'Salary -Dec-2024 (Full)'!$B$6:$AE$383,29,0)</f>
        <v>Bank</v>
      </c>
      <c r="AE39" s="618" t="str">
        <f>VLOOKUP(B39,'Salary -Dec-2024 (Full)'!$B$6:$AE$2853,30,0)</f>
        <v>268.158.0019245</v>
      </c>
      <c r="AF39" s="800"/>
      <c r="AG39" s="800"/>
      <c r="AJ39" s="183"/>
      <c r="AK39" s="320"/>
    </row>
    <row r="40" spans="1:37" s="61" customFormat="1" ht="24" customHeight="1">
      <c r="A40" s="62">
        <v>13</v>
      </c>
      <c r="B40" s="63" t="s">
        <v>174</v>
      </c>
      <c r="C40" s="255" t="str">
        <f>VLOOKUP(B40,'Salary -Dec-2024 (Full)'!$B$6:$D$383,2,0)</f>
        <v>Sadeck Ahmed</v>
      </c>
      <c r="D40" s="278" t="str">
        <f>VLOOKUP(B40,'Salary -Dec-2024 (Full)'!$B$6:$D$383,3,0)</f>
        <v>Jr. Mechanic</v>
      </c>
      <c r="E40" s="256" t="str">
        <f>VLOOKUP(B40,'Salary -Dec-2024 (Full)'!$B$6:$AE$383,4,0)</f>
        <v>Technical</v>
      </c>
      <c r="F40" s="265">
        <f>VLOOKUP(B40,'Salary -Dec-2024 (Full)'!$B$6:$AE$383,5,0)</f>
        <v>44817</v>
      </c>
      <c r="G40" s="257">
        <f>VLOOKUP(B40,'Salary -Dec-2024 (Full)'!$B$6:$AE$286,6,0)</f>
        <v>31</v>
      </c>
      <c r="H40" s="258">
        <f>VLOOKUP(B40,'Salary -Dec-2024 (Full)'!$B$6:$AE$383,7,0)</f>
        <v>1</v>
      </c>
      <c r="I40" s="66">
        <f t="shared" ref="I40:I44" si="81">G40-H40</f>
        <v>30</v>
      </c>
      <c r="J40" s="67">
        <f t="shared" ref="J40:J44" si="82">Q40/G40</f>
        <v>550</v>
      </c>
      <c r="K40" s="68">
        <f>VLOOKUP(B40,'Salary -Dec-2024 (Full)'!$B$6:$AE$383,10,0)</f>
        <v>17050</v>
      </c>
      <c r="L40" s="68">
        <f t="shared" ref="L40:L44" si="83">K40*60%</f>
        <v>10230</v>
      </c>
      <c r="M40" s="68">
        <f t="shared" ref="M40:M44" si="84">K40*30%</f>
        <v>5115</v>
      </c>
      <c r="N40" s="68">
        <f t="shared" ref="N40:N44" si="85">K40*6%</f>
        <v>1023</v>
      </c>
      <c r="O40" s="68">
        <f t="shared" ref="O40:O44" si="86">K40*4%</f>
        <v>682</v>
      </c>
      <c r="P40" s="69"/>
      <c r="Q40" s="70">
        <f t="shared" si="79"/>
        <v>17050</v>
      </c>
      <c r="R40" s="70">
        <f>VLOOKUP(B40,'Salary -Dec-2024 (Full)'!$B$6:$AE$383,17,0)</f>
        <v>16500</v>
      </c>
      <c r="S40" s="192">
        <f>VLOOKUP(B40,'Salary -Dec-2024 (Full)'!$B$6:$AE$383,18,0)</f>
        <v>0</v>
      </c>
      <c r="T40" s="192">
        <f>VLOOKUP(B40,'Salary -Dec-2024 (Full)'!$B$6:$AE$383,19,0)</f>
        <v>0</v>
      </c>
      <c r="U40" s="337">
        <f>VLOOKUP(B40,'Salary -Dec-2024 (Full)'!$B$6:$AE$383,20,0)</f>
        <v>0</v>
      </c>
      <c r="V40" s="71">
        <f t="shared" si="68"/>
        <v>16500</v>
      </c>
      <c r="W40" s="192">
        <f>VLOOKUP(B40,'Salary -Dec-2024 (Full)'!$B$6:$AE$383,22,0)</f>
        <v>0</v>
      </c>
      <c r="X40" s="192">
        <f>VLOOKUP(B40,'Salary -Dec-2024 (Full)'!$B$6:$AE$383,23,0)</f>
        <v>0</v>
      </c>
      <c r="Y40" s="337">
        <f>VLOOKUP(B40,'Salary -Dec-2024 (Full)'!$B$6:$AE$383,24,0)</f>
        <v>512</v>
      </c>
      <c r="Z40" s="192">
        <f>VLOOKUP(B40,'Salary -Dec-2024 (Full)'!$B$6:$AE$383,25,0)</f>
        <v>842</v>
      </c>
      <c r="AA40" s="192">
        <f>VLOOKUP(B40,'Salary -Dec-2024 (Full)'!$B$6:$AE$383,26,0)</f>
        <v>0</v>
      </c>
      <c r="AB40" s="73">
        <f t="shared" si="77"/>
        <v>1354</v>
      </c>
      <c r="AC40" s="73">
        <f t="shared" si="78"/>
        <v>15146</v>
      </c>
      <c r="AD40" s="74" t="str">
        <f>VLOOKUP(B40,'Salary -Dec-2024 (Full)'!$B$6:$AE$383,29,0)</f>
        <v>Bank</v>
      </c>
      <c r="AE40" s="618" t="str">
        <f>VLOOKUP(B40,'Salary -Dec-2024 (Full)'!$B$6:$AE$2853,30,0)</f>
        <v>156.158.0056302</v>
      </c>
      <c r="AF40" s="800"/>
      <c r="AG40" s="800"/>
      <c r="AJ40" s="183"/>
      <c r="AK40" s="320"/>
    </row>
    <row r="41" spans="1:37" s="61" customFormat="1" ht="24" customHeight="1">
      <c r="A41" s="62">
        <v>14</v>
      </c>
      <c r="B41" s="63" t="s">
        <v>184</v>
      </c>
      <c r="C41" s="255" t="str">
        <f>VLOOKUP(B41,'Salary -Dec-2024 (Full)'!$B$6:$D$383,2,0)</f>
        <v>Md. Repon Miah</v>
      </c>
      <c r="D41" s="278" t="str">
        <f>VLOOKUP(B41,'Salary -Dec-2024 (Full)'!$B$6:$D$383,3,0)</f>
        <v>Jr. Mechanic</v>
      </c>
      <c r="E41" s="256" t="str">
        <f>VLOOKUP(B41,'Salary -Dec-2024 (Full)'!$B$6:$AE$383,4,0)</f>
        <v>Technical</v>
      </c>
      <c r="F41" s="265">
        <f>VLOOKUP(B41,'Salary -Dec-2024 (Full)'!$B$6:$AE$383,5,0)</f>
        <v>44819</v>
      </c>
      <c r="G41" s="257">
        <f>VLOOKUP(B41,'Salary -Dec-2024 (Full)'!$B$6:$AE$286,6,0)</f>
        <v>31</v>
      </c>
      <c r="H41" s="258">
        <f>VLOOKUP(B41,'Salary -Dec-2024 (Full)'!$B$6:$AE$383,7,0)</f>
        <v>0</v>
      </c>
      <c r="I41" s="66">
        <f t="shared" si="81"/>
        <v>31</v>
      </c>
      <c r="J41" s="67">
        <f t="shared" si="82"/>
        <v>446.45161290322579</v>
      </c>
      <c r="K41" s="68">
        <f>VLOOKUP(B41,'Salary -Dec-2024 (Full)'!$B$6:$AE$383,10,0)</f>
        <v>13840</v>
      </c>
      <c r="L41" s="68">
        <f t="shared" si="83"/>
        <v>8304</v>
      </c>
      <c r="M41" s="68">
        <f t="shared" si="84"/>
        <v>4152</v>
      </c>
      <c r="N41" s="68">
        <f t="shared" si="85"/>
        <v>830.4</v>
      </c>
      <c r="O41" s="68">
        <f t="shared" si="86"/>
        <v>553.6</v>
      </c>
      <c r="P41" s="69"/>
      <c r="Q41" s="70">
        <f t="shared" si="79"/>
        <v>13840</v>
      </c>
      <c r="R41" s="70">
        <f>VLOOKUP(B41,'Salary -Dec-2024 (Full)'!$B$6:$AE$383,17,0)</f>
        <v>13840</v>
      </c>
      <c r="S41" s="192">
        <f>VLOOKUP(B41,'Salary -Dec-2024 (Full)'!$B$6:$AE$383,18,0)</f>
        <v>0</v>
      </c>
      <c r="T41" s="192">
        <f>VLOOKUP(B41,'Salary -Dec-2024 (Full)'!$B$6:$AE$383,19,0)</f>
        <v>0</v>
      </c>
      <c r="U41" s="337">
        <f>VLOOKUP(B41,'Salary -Dec-2024 (Full)'!$B$6:$AE$383,20,0)</f>
        <v>0</v>
      </c>
      <c r="V41" s="71">
        <f t="shared" si="68"/>
        <v>13840</v>
      </c>
      <c r="W41" s="192">
        <f>VLOOKUP(B41,'Salary -Dec-2024 (Full)'!$B$6:$AE$383,22,0)</f>
        <v>0</v>
      </c>
      <c r="X41" s="192">
        <f>VLOOKUP(B41,'Salary -Dec-2024 (Full)'!$B$6:$AE$383,23,0)</f>
        <v>0</v>
      </c>
      <c r="Y41" s="337">
        <f>VLOOKUP(B41,'Salary -Dec-2024 (Full)'!$B$6:$AE$383,24,0)</f>
        <v>415</v>
      </c>
      <c r="Z41" s="192">
        <f>VLOOKUP(B41,'Salary -Dec-2024 (Full)'!$B$6:$AE$383,25,0)</f>
        <v>0</v>
      </c>
      <c r="AA41" s="192">
        <f>VLOOKUP(B41,'Salary -Dec-2024 (Full)'!$B$6:$AE$383,26,0)</f>
        <v>0</v>
      </c>
      <c r="AB41" s="73">
        <f t="shared" si="77"/>
        <v>415</v>
      </c>
      <c r="AC41" s="73">
        <f t="shared" si="78"/>
        <v>13425</v>
      </c>
      <c r="AD41" s="74" t="str">
        <f>VLOOKUP(B41,'Salary -Dec-2024 (Full)'!$B$6:$AE$383,29,0)</f>
        <v>Bank</v>
      </c>
      <c r="AE41" s="618" t="str">
        <f>VLOOKUP(B41,'Salary -Dec-2024 (Full)'!$B$6:$AE$2853,30,0)</f>
        <v>156.158.0060380</v>
      </c>
      <c r="AF41" s="800"/>
      <c r="AG41" s="800"/>
      <c r="AJ41" s="183"/>
      <c r="AK41" s="320"/>
    </row>
    <row r="42" spans="1:37" s="61" customFormat="1" ht="24" customHeight="1">
      <c r="A42" s="62">
        <v>15</v>
      </c>
      <c r="B42" s="63" t="s">
        <v>187</v>
      </c>
      <c r="C42" s="255" t="str">
        <f>VLOOKUP(B42,'Salary -Dec-2024 (Full)'!$B$6:$D$383,2,0)</f>
        <v>Md. Mamun Islam</v>
      </c>
      <c r="D42" s="278" t="str">
        <f>VLOOKUP(B42,'Salary -Dec-2024 (Full)'!$B$6:$D$383,3,0)</f>
        <v>Mechanic</v>
      </c>
      <c r="E42" s="256" t="str">
        <f>VLOOKUP(B42,'Salary -Dec-2024 (Full)'!$B$6:$AE$383,4,0)</f>
        <v>Technical</v>
      </c>
      <c r="F42" s="265">
        <f>VLOOKUP(B42,'Salary -Dec-2024 (Full)'!$B$6:$AE$383,5,0)</f>
        <v>44875</v>
      </c>
      <c r="G42" s="257">
        <f>VLOOKUP(B42,'Salary -Dec-2024 (Full)'!$B$6:$AE$286,6,0)</f>
        <v>31</v>
      </c>
      <c r="H42" s="258">
        <f>VLOOKUP(B42,'Salary -Dec-2024 (Full)'!$B$6:$AE$383,7,0)</f>
        <v>0</v>
      </c>
      <c r="I42" s="66">
        <f t="shared" si="81"/>
        <v>31</v>
      </c>
      <c r="J42" s="67">
        <f t="shared" si="82"/>
        <v>725.80645161290317</v>
      </c>
      <c r="K42" s="68">
        <f>VLOOKUP(B42,'Salary -Dec-2024 (Full)'!$B$6:$AE$383,10,0)</f>
        <v>22500</v>
      </c>
      <c r="L42" s="68">
        <f t="shared" si="83"/>
        <v>13500</v>
      </c>
      <c r="M42" s="68">
        <f t="shared" si="84"/>
        <v>6750</v>
      </c>
      <c r="N42" s="68">
        <f t="shared" si="85"/>
        <v>1350</v>
      </c>
      <c r="O42" s="68">
        <f t="shared" si="86"/>
        <v>900</v>
      </c>
      <c r="P42" s="69">
        <v>0</v>
      </c>
      <c r="Q42" s="70">
        <f t="shared" si="79"/>
        <v>22500</v>
      </c>
      <c r="R42" s="70">
        <f>VLOOKUP(B42,'Salary -Dec-2024 (Full)'!$B$6:$AE$383,17,0)</f>
        <v>22500</v>
      </c>
      <c r="S42" s="192">
        <f>VLOOKUP(B42,'Salary -Dec-2024 (Full)'!$B$6:$AE$383,18,0)</f>
        <v>0</v>
      </c>
      <c r="T42" s="192">
        <f>VLOOKUP(B42,'Salary -Dec-2024 (Full)'!$B$6:$AE$383,19,0)</f>
        <v>0</v>
      </c>
      <c r="U42" s="337">
        <f>VLOOKUP(B42,'Salary -Dec-2024 (Full)'!$B$6:$AE$383,20,0)</f>
        <v>0</v>
      </c>
      <c r="V42" s="71">
        <f t="shared" si="68"/>
        <v>22500</v>
      </c>
      <c r="W42" s="192">
        <f>VLOOKUP(B42,'Salary -Dec-2024 (Full)'!$B$6:$AE$383,22,0)</f>
        <v>0</v>
      </c>
      <c r="X42" s="192">
        <f>VLOOKUP(B42,'Salary -Dec-2024 (Full)'!$B$6:$AE$383,23,0)</f>
        <v>0</v>
      </c>
      <c r="Y42" s="337">
        <f>VLOOKUP(B42,'Salary -Dec-2024 (Full)'!$B$6:$AE$383,24,0)</f>
        <v>675</v>
      </c>
      <c r="Z42" s="192">
        <f>VLOOKUP(B42,'Salary -Dec-2024 (Full)'!$B$6:$AE$383,25,0)</f>
        <v>842</v>
      </c>
      <c r="AA42" s="192">
        <f>VLOOKUP(B42,'Salary -Dec-2024 (Full)'!$B$6:$AE$383,26,0)</f>
        <v>0</v>
      </c>
      <c r="AB42" s="73">
        <f t="shared" si="77"/>
        <v>1517</v>
      </c>
      <c r="AC42" s="73">
        <f t="shared" si="78"/>
        <v>20983</v>
      </c>
      <c r="AD42" s="74" t="str">
        <f>VLOOKUP(B42,'Salary -Dec-2024 (Full)'!$B$6:$AE$383,29,0)</f>
        <v>Bank</v>
      </c>
      <c r="AE42" s="618" t="str">
        <f>VLOOKUP(B42,'Salary -Dec-2024 (Full)'!$B$6:$AE$2853,30,0)</f>
        <v>289.103.0002293</v>
      </c>
      <c r="AF42" s="800"/>
      <c r="AG42" s="800"/>
      <c r="AJ42" s="183"/>
      <c r="AK42" s="320"/>
    </row>
    <row r="43" spans="1:37" s="61" customFormat="1" ht="24" customHeight="1">
      <c r="A43" s="62">
        <v>16</v>
      </c>
      <c r="B43" s="63" t="s">
        <v>512</v>
      </c>
      <c r="C43" s="255" t="str">
        <f>VLOOKUP(B43,'Salary -Dec-2024 (Full)'!$B$6:$D$383,2,0)</f>
        <v>Md. Mannan Miah</v>
      </c>
      <c r="D43" s="278" t="str">
        <f>VLOOKUP(B43,'Salary -Dec-2024 (Full)'!$B$6:$D$383,3,0)</f>
        <v>Mechanic</v>
      </c>
      <c r="E43" s="256" t="str">
        <f>VLOOKUP(B43,'Salary -Dec-2024 (Full)'!$B$6:$AE$383,4,0)</f>
        <v>Technical</v>
      </c>
      <c r="F43" s="265">
        <f>VLOOKUP(B43,'Salary -Dec-2024 (Full)'!$B$6:$AE$383,5,0)</f>
        <v>44694</v>
      </c>
      <c r="G43" s="257">
        <f>VLOOKUP(B43,'Salary -Dec-2024 (Full)'!$B$6:$AE$286,6,0)</f>
        <v>31</v>
      </c>
      <c r="H43" s="258">
        <f>VLOOKUP(B43,'Salary -Dec-2024 (Full)'!$B$6:$AE$383,7,0)</f>
        <v>0</v>
      </c>
      <c r="I43" s="66">
        <f t="shared" si="81"/>
        <v>31</v>
      </c>
      <c r="J43" s="67">
        <f t="shared" si="82"/>
        <v>619.0322580645161</v>
      </c>
      <c r="K43" s="68">
        <f>VLOOKUP(B43,'Salary -Dec-2024 (Full)'!$B$6:$AE$383,10,0)</f>
        <v>19190</v>
      </c>
      <c r="L43" s="68">
        <f t="shared" si="83"/>
        <v>11514</v>
      </c>
      <c r="M43" s="68">
        <f t="shared" si="84"/>
        <v>5757</v>
      </c>
      <c r="N43" s="68">
        <f t="shared" si="85"/>
        <v>1151.3999999999999</v>
      </c>
      <c r="O43" s="68">
        <f t="shared" si="86"/>
        <v>767.6</v>
      </c>
      <c r="P43" s="69">
        <v>0</v>
      </c>
      <c r="Q43" s="70">
        <f t="shared" ref="Q43:Q44" si="87">SUM(L43:P43)</f>
        <v>19190</v>
      </c>
      <c r="R43" s="70">
        <f>VLOOKUP(B43,'Salary -Dec-2024 (Full)'!$B$6:$AE$383,17,0)</f>
        <v>19190</v>
      </c>
      <c r="S43" s="192">
        <f>VLOOKUP(B43,'Salary -Dec-2024 (Full)'!$B$6:$AE$383,18,0)</f>
        <v>0</v>
      </c>
      <c r="T43" s="192">
        <f>VLOOKUP(B43,'Salary -Dec-2024 (Full)'!$B$6:$AE$383,19,0)</f>
        <v>0</v>
      </c>
      <c r="U43" s="337">
        <f>VLOOKUP(B43,'Salary -Dec-2024 (Full)'!$B$6:$AE$383,20,0)</f>
        <v>0</v>
      </c>
      <c r="V43" s="71">
        <f t="shared" si="68"/>
        <v>19190</v>
      </c>
      <c r="W43" s="192">
        <f>VLOOKUP(B43,'Salary -Dec-2024 (Full)'!$B$6:$AE$383,22,0)</f>
        <v>0</v>
      </c>
      <c r="X43" s="192">
        <f>VLOOKUP(B43,'Salary -Dec-2024 (Full)'!$B$6:$AE$383,23,0)</f>
        <v>0</v>
      </c>
      <c r="Y43" s="337">
        <f>VLOOKUP(B43,'Salary -Dec-2024 (Full)'!$B$6:$AE$383,24,0)</f>
        <v>576</v>
      </c>
      <c r="Z43" s="192">
        <f>VLOOKUP(B43,'Salary -Dec-2024 (Full)'!$B$6:$AE$383,25,0)</f>
        <v>842</v>
      </c>
      <c r="AA43" s="192">
        <f>VLOOKUP(B43,'Salary -Dec-2024 (Full)'!$B$6:$AE$383,26,0)</f>
        <v>0</v>
      </c>
      <c r="AB43" s="73">
        <f t="shared" si="77"/>
        <v>1418</v>
      </c>
      <c r="AC43" s="73">
        <f t="shared" si="78"/>
        <v>17772</v>
      </c>
      <c r="AD43" s="74" t="str">
        <f>VLOOKUP(B43,'Salary -Dec-2024 (Full)'!$B$6:$AE$383,29,0)</f>
        <v>Bank</v>
      </c>
      <c r="AE43" s="618" t="str">
        <f>VLOOKUP(B43,'Salary -Dec-2024 (Full)'!$B$6:$AE$2853,30,0)</f>
        <v>187.151.0041355</v>
      </c>
      <c r="AF43" s="800"/>
      <c r="AG43" s="800"/>
      <c r="AJ43" s="183"/>
      <c r="AK43" s="320"/>
    </row>
    <row r="44" spans="1:37" s="61" customFormat="1" ht="24" customHeight="1">
      <c r="A44" s="62">
        <v>17</v>
      </c>
      <c r="B44" s="63" t="s">
        <v>548</v>
      </c>
      <c r="C44" s="255" t="str">
        <f>VLOOKUP(B44,'Salary -Dec-2024 (Full)'!$B$6:$D$383,2,0)</f>
        <v>Md. Sohel Rana</v>
      </c>
      <c r="D44" s="278" t="str">
        <f>VLOOKUP(B44,'Salary -Dec-2024 (Full)'!$B$6:$D$383,3,0)</f>
        <v>Mechanic</v>
      </c>
      <c r="E44" s="256" t="str">
        <f>VLOOKUP(B44,'Salary -Dec-2024 (Full)'!$B$6:$AE$383,4,0)</f>
        <v>Technical</v>
      </c>
      <c r="F44" s="265">
        <f>VLOOKUP(B44,'Salary -Dec-2024 (Full)'!$B$6:$AE$383,5,0)</f>
        <v>44966</v>
      </c>
      <c r="G44" s="257">
        <f>VLOOKUP(B44,'Salary -Dec-2024 (Full)'!$B$6:$AE$286,6,0)</f>
        <v>31</v>
      </c>
      <c r="H44" s="258">
        <f>VLOOKUP(B44,'Salary -Dec-2024 (Full)'!$B$6:$AE$383,7,0)</f>
        <v>0</v>
      </c>
      <c r="I44" s="66">
        <f t="shared" si="81"/>
        <v>31</v>
      </c>
      <c r="J44" s="67">
        <f t="shared" si="82"/>
        <v>616.12903225806451</v>
      </c>
      <c r="K44" s="68">
        <f>VLOOKUP(B44,'Salary -Dec-2024 (Full)'!$B$6:$AE$383,10,0)</f>
        <v>19100</v>
      </c>
      <c r="L44" s="68">
        <f t="shared" si="83"/>
        <v>11460</v>
      </c>
      <c r="M44" s="68">
        <f t="shared" si="84"/>
        <v>5730</v>
      </c>
      <c r="N44" s="68">
        <f t="shared" si="85"/>
        <v>1146</v>
      </c>
      <c r="O44" s="68">
        <f t="shared" si="86"/>
        <v>764</v>
      </c>
      <c r="P44" s="69"/>
      <c r="Q44" s="70">
        <f t="shared" si="87"/>
        <v>19100</v>
      </c>
      <c r="R44" s="70">
        <f>VLOOKUP(B44,'Salary -Dec-2024 (Full)'!$B$6:$AE$383,17,0)</f>
        <v>19100</v>
      </c>
      <c r="S44" s="192">
        <f>VLOOKUP(B44,'Salary -Dec-2024 (Full)'!$B$6:$AE$383,18,0)</f>
        <v>0</v>
      </c>
      <c r="T44" s="192">
        <f>VLOOKUP(B44,'Salary -Dec-2024 (Full)'!$B$6:$AE$383,19,0)</f>
        <v>0</v>
      </c>
      <c r="U44" s="337">
        <f>VLOOKUP(B44,'Salary -Dec-2024 (Full)'!$B$6:$AE$383,20,0)</f>
        <v>0</v>
      </c>
      <c r="V44" s="71">
        <f t="shared" si="68"/>
        <v>19100</v>
      </c>
      <c r="W44" s="192">
        <f>VLOOKUP(B44,'Salary -Dec-2024 (Full)'!$B$6:$AE$383,22,0)</f>
        <v>0</v>
      </c>
      <c r="X44" s="192">
        <f>VLOOKUP(B44,'Salary -Dec-2024 (Full)'!$B$6:$AE$383,23,0)</f>
        <v>0</v>
      </c>
      <c r="Y44" s="337">
        <f>VLOOKUP(B44,'Salary -Dec-2024 (Full)'!$B$6:$AE$383,24,0)</f>
        <v>573</v>
      </c>
      <c r="Z44" s="192">
        <f>VLOOKUP(B44,'Salary -Dec-2024 (Full)'!$B$6:$AE$383,25,0)</f>
        <v>842</v>
      </c>
      <c r="AA44" s="192">
        <f>VLOOKUP(B44,'Salary -Dec-2024 (Full)'!$B$6:$AE$383,26,0)</f>
        <v>0</v>
      </c>
      <c r="AB44" s="73">
        <f t="shared" si="77"/>
        <v>1415</v>
      </c>
      <c r="AC44" s="73">
        <f t="shared" si="78"/>
        <v>17685</v>
      </c>
      <c r="AD44" s="74" t="str">
        <f>VLOOKUP(B44,'Salary -Dec-2024 (Full)'!$B$6:$AE$383,29,0)</f>
        <v>Bank</v>
      </c>
      <c r="AE44" s="618" t="str">
        <f>VLOOKUP(B44,'Salary -Dec-2024 (Full)'!$B$6:$AE$2853,30,0)</f>
        <v>204.103.0061204</v>
      </c>
      <c r="AF44" s="800"/>
      <c r="AG44" s="800"/>
      <c r="AJ44" s="183"/>
      <c r="AK44" s="320"/>
    </row>
    <row r="45" spans="1:37" s="61" customFormat="1" ht="24" customHeight="1">
      <c r="A45" s="62">
        <v>18</v>
      </c>
      <c r="B45" s="63" t="s">
        <v>1846</v>
      </c>
      <c r="C45" s="255" t="str">
        <f>VLOOKUP(B45,'Salary -Dec-2024 (Full)'!$B$6:$D$383,2,0)</f>
        <v>Md. Jakir Hossain</v>
      </c>
      <c r="D45" s="278" t="str">
        <f>VLOOKUP(B45,'Salary -Dec-2024 (Full)'!$B$6:$D$383,3,0)</f>
        <v>Mechanic</v>
      </c>
      <c r="E45" s="256" t="str">
        <f>VLOOKUP(B45,'Salary -Dec-2024 (Full)'!$B$6:$AE$383,4,0)</f>
        <v>Technical</v>
      </c>
      <c r="F45" s="265">
        <f>VLOOKUP(B45,'Salary -Dec-2024 (Full)'!$B$6:$AE$383,5,0)</f>
        <v>45620</v>
      </c>
      <c r="G45" s="257">
        <f>VLOOKUP(B45,'Salary -Dec-2024 (Full)'!$B$6:$AE$286,6,0)</f>
        <v>31</v>
      </c>
      <c r="H45" s="258">
        <f>VLOOKUP(B45,'Salary -Dec-2024 (Full)'!$B$6:$AE$383,7,0)</f>
        <v>0</v>
      </c>
      <c r="I45" s="66">
        <f t="shared" ref="I45:I46" si="88">G45-H45</f>
        <v>31</v>
      </c>
      <c r="J45" s="67">
        <f t="shared" ref="J45:J46" si="89">Q45/G45</f>
        <v>645.16129032258061</v>
      </c>
      <c r="K45" s="68">
        <f>VLOOKUP(B45,'Salary -Dec-2024 (Full)'!$B$6:$AE$383,10,0)</f>
        <v>20000</v>
      </c>
      <c r="L45" s="68">
        <f t="shared" ref="L45:L46" si="90">K45*60%</f>
        <v>12000</v>
      </c>
      <c r="M45" s="68">
        <f t="shared" ref="M45:M46" si="91">K45*30%</f>
        <v>6000</v>
      </c>
      <c r="N45" s="68">
        <f t="shared" ref="N45:N46" si="92">K45*6%</f>
        <v>1200</v>
      </c>
      <c r="O45" s="68">
        <f t="shared" ref="O45:O46" si="93">K45*4%</f>
        <v>800</v>
      </c>
      <c r="P45" s="69"/>
      <c r="Q45" s="70">
        <f t="shared" ref="Q45:Q46" si="94">SUM(L45:P45)</f>
        <v>20000</v>
      </c>
      <c r="R45" s="70">
        <f>VLOOKUP(B45,'Salary -Dec-2024 (Full)'!$B$6:$AE$383,17,0)</f>
        <v>20000</v>
      </c>
      <c r="S45" s="192">
        <f>VLOOKUP(B45,'Salary -Dec-2024 (Full)'!$B$6:$AE$383,18,0)</f>
        <v>0</v>
      </c>
      <c r="T45" s="192">
        <f>VLOOKUP(B45,'Salary -Dec-2024 (Full)'!$B$6:$AE$383,19,0)</f>
        <v>0</v>
      </c>
      <c r="U45" s="337">
        <f>VLOOKUP(B45,'Salary -Dec-2024 (Full)'!$B$6:$AE$383,20,0)</f>
        <v>4516</v>
      </c>
      <c r="V45" s="71">
        <f t="shared" ref="V45:V46" si="95">SUM(R45:U45)</f>
        <v>24516</v>
      </c>
      <c r="W45" s="192">
        <f>VLOOKUP(B45,'Salary -Dec-2024 (Full)'!$B$6:$AE$383,22,0)</f>
        <v>0</v>
      </c>
      <c r="X45" s="192">
        <f>VLOOKUP(B45,'Salary -Dec-2024 (Full)'!$B$6:$AE$383,23,0)</f>
        <v>0</v>
      </c>
      <c r="Y45" s="337">
        <f>VLOOKUP(B45,'Salary -Dec-2024 (Full)'!$B$6:$AE$383,24,0)</f>
        <v>0</v>
      </c>
      <c r="Z45" s="192">
        <f>VLOOKUP(B45,'Salary -Dec-2024 (Full)'!$B$6:$AE$383,25,0)</f>
        <v>0</v>
      </c>
      <c r="AA45" s="192">
        <f>VLOOKUP(B45,'Salary -Dec-2024 (Full)'!$B$6:$AE$383,26,0)</f>
        <v>0</v>
      </c>
      <c r="AB45" s="73">
        <f t="shared" ref="AB45:AB46" si="96">SUM(W45:AA45)</f>
        <v>0</v>
      </c>
      <c r="AC45" s="73">
        <f t="shared" ref="AC45:AC46" si="97">ROUND(V45-AB45,0)</f>
        <v>24516</v>
      </c>
      <c r="AD45" s="74" t="str">
        <f>VLOOKUP(B45,'Salary -Dec-2024 (Full)'!$B$6:$AE$383,29,0)</f>
        <v>Bank</v>
      </c>
      <c r="AE45" s="618" t="str">
        <f>VLOOKUP(B45,'Salary -Dec-2024 (Full)'!$B$6:$AE$2853,30,0)</f>
        <v>141.151.158162</v>
      </c>
      <c r="AF45" s="800"/>
      <c r="AG45" s="800"/>
      <c r="AJ45" s="183"/>
      <c r="AK45" s="320"/>
    </row>
    <row r="46" spans="1:37" s="61" customFormat="1" ht="24" customHeight="1">
      <c r="A46" s="62">
        <v>19</v>
      </c>
      <c r="B46" s="63" t="s">
        <v>1849</v>
      </c>
      <c r="C46" s="255" t="str">
        <f>VLOOKUP(B46,'Salary -Dec-2024 (Full)'!$B$6:$D$383,2,0)</f>
        <v>Md. Rubel Rana</v>
      </c>
      <c r="D46" s="278" t="str">
        <f>VLOOKUP(B46,'Salary -Dec-2024 (Full)'!$B$6:$D$383,3,0)</f>
        <v>Jr. Mechanic</v>
      </c>
      <c r="E46" s="256" t="str">
        <f>VLOOKUP(B46,'Salary -Dec-2024 (Full)'!$B$6:$AE$383,4,0)</f>
        <v>Technical</v>
      </c>
      <c r="F46" s="265">
        <f>VLOOKUP(B46,'Salary -Dec-2024 (Full)'!$B$6:$AE$383,5,0)</f>
        <v>45640</v>
      </c>
      <c r="G46" s="257">
        <f>VLOOKUP(B46,'Salary -Dec-2024 (Full)'!$B$6:$AE$286,6,0)</f>
        <v>31</v>
      </c>
      <c r="H46" s="258">
        <f>VLOOKUP(B46,'Salary -Dec-2024 (Full)'!$B$6:$AE$383,7,0)</f>
        <v>13</v>
      </c>
      <c r="I46" s="66">
        <f t="shared" si="88"/>
        <v>18</v>
      </c>
      <c r="J46" s="67">
        <f t="shared" si="89"/>
        <v>612.90322580645159</v>
      </c>
      <c r="K46" s="68">
        <f>VLOOKUP(B46,'Salary -Dec-2024 (Full)'!$B$6:$AE$383,10,0)</f>
        <v>19000</v>
      </c>
      <c r="L46" s="68">
        <f t="shared" si="90"/>
        <v>11400</v>
      </c>
      <c r="M46" s="68">
        <f t="shared" si="91"/>
        <v>5700</v>
      </c>
      <c r="N46" s="68">
        <f t="shared" si="92"/>
        <v>1140</v>
      </c>
      <c r="O46" s="68">
        <f t="shared" si="93"/>
        <v>760</v>
      </c>
      <c r="P46" s="69"/>
      <c r="Q46" s="70">
        <f t="shared" si="94"/>
        <v>19000</v>
      </c>
      <c r="R46" s="70">
        <f>VLOOKUP(B46,'Salary -Dec-2024 (Full)'!$B$6:$AE$383,17,0)</f>
        <v>11032</v>
      </c>
      <c r="S46" s="192">
        <f>VLOOKUP(B46,'Salary -Dec-2024 (Full)'!$B$6:$AE$383,18,0)</f>
        <v>0</v>
      </c>
      <c r="T46" s="192">
        <f>VLOOKUP(B46,'Salary -Dec-2024 (Full)'!$B$6:$AE$383,19,0)</f>
        <v>0</v>
      </c>
      <c r="U46" s="337">
        <f>VLOOKUP(B46,'Salary -Dec-2024 (Full)'!$B$6:$AE$383,20,0)</f>
        <v>0</v>
      </c>
      <c r="V46" s="71">
        <f t="shared" si="95"/>
        <v>11032</v>
      </c>
      <c r="W46" s="192">
        <f>VLOOKUP(B46,'Salary -Dec-2024 (Full)'!$B$6:$AE$383,22,0)</f>
        <v>0</v>
      </c>
      <c r="X46" s="192">
        <f>VLOOKUP(B46,'Salary -Dec-2024 (Full)'!$B$6:$AE$383,23,0)</f>
        <v>0</v>
      </c>
      <c r="Y46" s="337">
        <f>VLOOKUP(B46,'Salary -Dec-2024 (Full)'!$B$6:$AE$383,24,0)</f>
        <v>0</v>
      </c>
      <c r="Z46" s="192">
        <f>VLOOKUP(B46,'Salary -Dec-2024 (Full)'!$B$6:$AE$383,25,0)</f>
        <v>0</v>
      </c>
      <c r="AA46" s="192">
        <f>VLOOKUP(B46,'Salary -Dec-2024 (Full)'!$B$6:$AE$383,26,0)</f>
        <v>0</v>
      </c>
      <c r="AB46" s="73">
        <f t="shared" si="96"/>
        <v>0</v>
      </c>
      <c r="AC46" s="73">
        <f t="shared" si="97"/>
        <v>11032</v>
      </c>
      <c r="AD46" s="74" t="str">
        <f>VLOOKUP(B46,'Salary -Dec-2024 (Full)'!$B$6:$AE$383,29,0)</f>
        <v>Bank</v>
      </c>
      <c r="AE46" s="618" t="str">
        <f>VLOOKUP(B46,'Salary -Dec-2024 (Full)'!$B$6:$AE$2853,30,0)</f>
        <v>285.103.0077016</v>
      </c>
      <c r="AF46" s="800"/>
      <c r="AG46" s="800"/>
      <c r="AJ46" s="183"/>
      <c r="AK46" s="320"/>
    </row>
    <row r="47" spans="1:37" s="61" customFormat="1" ht="17.25" customHeight="1">
      <c r="A47" s="1031" t="s">
        <v>67</v>
      </c>
      <c r="B47" s="1032"/>
      <c r="C47" s="1033"/>
      <c r="D47" s="1034"/>
      <c r="E47" s="1040"/>
      <c r="F47" s="1040"/>
      <c r="G47" s="1040"/>
      <c r="H47" s="1040"/>
      <c r="I47" s="1040"/>
      <c r="J47" s="1040"/>
      <c r="K47" s="1037">
        <f>SUM(K28:K46)</f>
        <v>355980</v>
      </c>
      <c r="L47" s="1037">
        <f t="shared" ref="L47:AC47" si="98">SUM(L28:L46)</f>
        <v>213588</v>
      </c>
      <c r="M47" s="1037">
        <f t="shared" si="98"/>
        <v>106794</v>
      </c>
      <c r="N47" s="1037">
        <f t="shared" si="98"/>
        <v>21358.800000000003</v>
      </c>
      <c r="O47" s="1037">
        <f t="shared" si="98"/>
        <v>14239.2</v>
      </c>
      <c r="P47" s="1037">
        <f t="shared" si="98"/>
        <v>0</v>
      </c>
      <c r="Q47" s="1037">
        <f t="shared" si="98"/>
        <v>355980</v>
      </c>
      <c r="R47" s="1037">
        <f t="shared" si="98"/>
        <v>342670</v>
      </c>
      <c r="S47" s="1037">
        <f t="shared" si="98"/>
        <v>0</v>
      </c>
      <c r="T47" s="1037">
        <f t="shared" si="98"/>
        <v>0</v>
      </c>
      <c r="U47" s="1037">
        <f t="shared" si="98"/>
        <v>4516</v>
      </c>
      <c r="V47" s="1037">
        <f t="shared" si="98"/>
        <v>347186</v>
      </c>
      <c r="W47" s="1037">
        <f t="shared" si="98"/>
        <v>0</v>
      </c>
      <c r="X47" s="1037">
        <f t="shared" si="98"/>
        <v>0</v>
      </c>
      <c r="Y47" s="1037">
        <f t="shared" si="98"/>
        <v>9513</v>
      </c>
      <c r="Z47" s="1037">
        <f t="shared" si="98"/>
        <v>15578</v>
      </c>
      <c r="AA47" s="1037">
        <f t="shared" si="98"/>
        <v>0</v>
      </c>
      <c r="AB47" s="1037">
        <f t="shared" si="98"/>
        <v>25091</v>
      </c>
      <c r="AC47" s="1037">
        <f t="shared" si="98"/>
        <v>322095</v>
      </c>
      <c r="AD47" s="1037"/>
      <c r="AE47" s="1042"/>
      <c r="AF47" s="801"/>
      <c r="AG47" s="801"/>
      <c r="AJ47" s="183"/>
      <c r="AK47" s="320"/>
    </row>
    <row r="48" spans="1:37" s="47" customFormat="1" ht="19.5" customHeight="1">
      <c r="A48" s="347" t="s">
        <v>200</v>
      </c>
      <c r="B48" s="268"/>
      <c r="C48" s="268"/>
      <c r="D48" s="348"/>
      <c r="E48" s="268"/>
      <c r="F48" s="268"/>
      <c r="G48" s="268"/>
      <c r="H48" s="267"/>
      <c r="I48" s="268"/>
      <c r="J48" s="268"/>
      <c r="K48" s="268"/>
      <c r="L48" s="268"/>
      <c r="M48" s="268"/>
      <c r="N48" s="268"/>
      <c r="O48" s="268"/>
      <c r="P48" s="268"/>
      <c r="Q48" s="268"/>
      <c r="R48" s="268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619"/>
      <c r="AF48" s="802"/>
      <c r="AG48" s="802"/>
      <c r="AH48" s="61"/>
      <c r="AI48" s="61"/>
      <c r="AJ48" s="183"/>
      <c r="AK48" s="320"/>
    </row>
    <row r="49" spans="1:37" s="61" customFormat="1" ht="24" customHeight="1">
      <c r="A49" s="771">
        <v>1</v>
      </c>
      <c r="B49" s="63" t="s">
        <v>205</v>
      </c>
      <c r="C49" s="255" t="str">
        <f>VLOOKUP(B49,'Salary -Dec-2024 (Full)'!$B$6:$D$383,2,0)</f>
        <v>Imran Hossain</v>
      </c>
      <c r="D49" s="278" t="str">
        <f>VLOOKUP(B49,'Salary -Dec-2024 (Full)'!$B$6:$D$383,3,0)</f>
        <v>Territory Sales Officer (Stemz)</v>
      </c>
      <c r="E49" s="256" t="str">
        <f>VLOOKUP(B49,'Salary -Dec-2024 (Full)'!$B$6:$AE$383,4,0)</f>
        <v>S&amp;M</v>
      </c>
      <c r="F49" s="265">
        <f>VLOOKUP(B49,'Salary -Dec-2024 (Full)'!$B$6:$AE$383,5,0)</f>
        <v>44024</v>
      </c>
      <c r="G49" s="257">
        <f>VLOOKUP(B49,'Salary -Dec-2024 (Full)'!$B$6:$AE$286,6,0)</f>
        <v>31</v>
      </c>
      <c r="H49" s="258">
        <f>VLOOKUP(B49,'Salary -Dec-2024 (Full)'!$B$6:$AE$383,7,0)</f>
        <v>0</v>
      </c>
      <c r="I49" s="66">
        <f t="shared" ref="I49" si="99">G49-H49</f>
        <v>31</v>
      </c>
      <c r="J49" s="67">
        <f t="shared" ref="J49" si="100">Q49/G49</f>
        <v>1048.3870967741937</v>
      </c>
      <c r="K49" s="68">
        <f>VLOOKUP(B49,'Salary -Dec-2024 (Full)'!$B$6:$AE$383,10,0)</f>
        <v>32500</v>
      </c>
      <c r="L49" s="68">
        <f t="shared" ref="L49" si="101">K49*60%</f>
        <v>19500</v>
      </c>
      <c r="M49" s="68">
        <f t="shared" ref="M49" si="102">K49*30%</f>
        <v>9750</v>
      </c>
      <c r="N49" s="68">
        <f t="shared" ref="N49" si="103">K49*6%</f>
        <v>1950</v>
      </c>
      <c r="O49" s="68">
        <f t="shared" ref="O49" si="104">K49*4%</f>
        <v>1300</v>
      </c>
      <c r="P49" s="378"/>
      <c r="Q49" s="70">
        <f t="shared" ref="Q49" si="105">SUM(L49:P49)</f>
        <v>32500</v>
      </c>
      <c r="R49" s="70">
        <f>VLOOKUP(B49,'Salary -Dec-2024 (Full)'!$B$6:$AE$383,17,0)</f>
        <v>32500</v>
      </c>
      <c r="S49" s="192">
        <f>VLOOKUP(B49,'Salary -Dec-2024 (Full)'!$B$6:$AE$383,18,0)</f>
        <v>2000</v>
      </c>
      <c r="T49" s="192">
        <f>VLOOKUP(B49,'Salary -Dec-2024 (Full)'!$B$6:$AE$383,19,0)</f>
        <v>0</v>
      </c>
      <c r="U49" s="337">
        <f>VLOOKUP(B49,'Salary -Dec-2024 (Full)'!$B$6:$AE$383,20,0)</f>
        <v>0</v>
      </c>
      <c r="V49" s="71">
        <f t="shared" ref="V49" si="106">SUM(R49:U49)</f>
        <v>34500</v>
      </c>
      <c r="W49" s="192">
        <f>VLOOKUP(B49,'Salary -Dec-2024 (Full)'!$B$6:$AE$383,22,0)</f>
        <v>0</v>
      </c>
      <c r="X49" s="192">
        <f>VLOOKUP(B49,'Salary -Dec-2024 (Full)'!$B$6:$AE$383,23,0)</f>
        <v>0</v>
      </c>
      <c r="Y49" s="337">
        <f>VLOOKUP(B49,'Salary -Dec-2024 (Full)'!$B$6:$AE$383,24,0)</f>
        <v>975</v>
      </c>
      <c r="Z49" s="192">
        <f>VLOOKUP(B49,'Salary -Dec-2024 (Full)'!$B$6:$AE$383,25,0)</f>
        <v>2160</v>
      </c>
      <c r="AA49" s="192">
        <f>VLOOKUP(B49,'Salary -Dec-2024 (Full)'!$B$6:$AE$383,26,0)</f>
        <v>0</v>
      </c>
      <c r="AB49" s="73">
        <f t="shared" ref="AB49" si="107">SUM(W49:AA49)</f>
        <v>3135</v>
      </c>
      <c r="AC49" s="73">
        <f t="shared" ref="AC49" si="108">ROUND(V49-AB49,0)</f>
        <v>31365</v>
      </c>
      <c r="AD49" s="74" t="str">
        <f>VLOOKUP(B49,'Salary -Dec-2024 (Full)'!$B$6:$AE$383,29,0)</f>
        <v>Bank</v>
      </c>
      <c r="AE49" s="618" t="str">
        <f>VLOOKUP(B49,'Salary -Dec-2024 (Full)'!$B$6:$AE$2853,30,0)</f>
        <v>208.103.0093940</v>
      </c>
      <c r="AF49" s="800"/>
      <c r="AG49" s="800"/>
      <c r="AJ49" s="183"/>
      <c r="AK49" s="320"/>
    </row>
    <row r="50" spans="1:37" s="61" customFormat="1" ht="22.5" customHeight="1">
      <c r="A50" s="62">
        <v>2</v>
      </c>
      <c r="B50" s="63" t="s">
        <v>208</v>
      </c>
      <c r="C50" s="255" t="str">
        <f>VLOOKUP(B50,'Salary -Dec-2024 (Full)'!$B$6:$D$383,2,0)</f>
        <v>Md. Selim Reza</v>
      </c>
      <c r="D50" s="278" t="str">
        <f>VLOOKUP(B50,'Salary -Dec-2024 (Full)'!$B$6:$D$383,3,0)</f>
        <v>Territory Sales Officer</v>
      </c>
      <c r="E50" s="256" t="str">
        <f>VLOOKUP(B50,'Salary -Dec-2024 (Full)'!$B$6:$AE$383,4,0)</f>
        <v>S&amp;M</v>
      </c>
      <c r="F50" s="265">
        <f>VLOOKUP(B50,'Salary -Dec-2024 (Full)'!$B$6:$AE$383,5,0)</f>
        <v>44654</v>
      </c>
      <c r="G50" s="257">
        <f>VLOOKUP(B50,'Salary -Dec-2024 (Full)'!$B$6:$AE$286,6,0)</f>
        <v>31</v>
      </c>
      <c r="H50" s="258">
        <f>VLOOKUP(B50,'Salary -Dec-2024 (Full)'!$B$6:$AE$383,7,0)</f>
        <v>0</v>
      </c>
      <c r="I50" s="66">
        <f t="shared" ref="I50:I51" si="109">G50-H50</f>
        <v>31</v>
      </c>
      <c r="J50" s="67">
        <f t="shared" ref="J50:J51" si="110">Q50/G50</f>
        <v>887.09677419354841</v>
      </c>
      <c r="K50" s="68">
        <f>VLOOKUP(B50,'Salary -Dec-2024 (Full)'!$B$6:$AE$383,10,0)</f>
        <v>27500</v>
      </c>
      <c r="L50" s="68">
        <f t="shared" ref="L50:L51" si="111">K50*60%</f>
        <v>16500</v>
      </c>
      <c r="M50" s="68">
        <f t="shared" ref="M50:M51" si="112">K50*30%</f>
        <v>8250</v>
      </c>
      <c r="N50" s="68">
        <f t="shared" ref="N50:N51" si="113">K50*6%</f>
        <v>1650</v>
      </c>
      <c r="O50" s="68">
        <f t="shared" ref="O50:O51" si="114">K50*4%</f>
        <v>1100</v>
      </c>
      <c r="P50" s="69">
        <v>0</v>
      </c>
      <c r="Q50" s="70">
        <f t="shared" ref="Q50:Q56" si="115">SUM(L50:P50)</f>
        <v>27500</v>
      </c>
      <c r="R50" s="70">
        <f>VLOOKUP(B50,'Salary -Dec-2024 (Full)'!$B$6:$AE$383,17,0)</f>
        <v>27500</v>
      </c>
      <c r="S50" s="192">
        <f>VLOOKUP(B50,'Salary -Dec-2024 (Full)'!$B$6:$AE$383,18,0)</f>
        <v>0</v>
      </c>
      <c r="T50" s="192">
        <f>VLOOKUP(B50,'Salary -Dec-2024 (Full)'!$B$6:$AE$383,19,0)</f>
        <v>0</v>
      </c>
      <c r="U50" s="337">
        <f>VLOOKUP(B50,'Salary -Dec-2024 (Full)'!$B$6:$AE$383,20,0)</f>
        <v>0</v>
      </c>
      <c r="V50" s="71">
        <f t="shared" ref="V50:V55" si="116">SUM(R50:U50)</f>
        <v>27500</v>
      </c>
      <c r="W50" s="192">
        <f>VLOOKUP(B50,'Salary -Dec-2024 (Full)'!$B$6:$AE$383,22,0)</f>
        <v>0</v>
      </c>
      <c r="X50" s="192">
        <f>VLOOKUP(B50,'Salary -Dec-2024 (Full)'!$B$6:$AE$383,23,0)</f>
        <v>0</v>
      </c>
      <c r="Y50" s="337">
        <f>VLOOKUP(B50,'Salary -Dec-2024 (Full)'!$B$6:$AE$383,24,0)</f>
        <v>825</v>
      </c>
      <c r="Z50" s="192">
        <f>VLOOKUP(B50,'Salary -Dec-2024 (Full)'!$B$6:$AE$383,25,0)</f>
        <v>2160</v>
      </c>
      <c r="AA50" s="192">
        <f>VLOOKUP(B50,'Salary -Dec-2024 (Full)'!$B$6:$AE$383,26,0)</f>
        <v>0</v>
      </c>
      <c r="AB50" s="73">
        <f t="shared" ref="AB50:AB52" si="117">SUM(W50:AA50)</f>
        <v>2985</v>
      </c>
      <c r="AC50" s="73">
        <f t="shared" ref="AC50:AC52" si="118">ROUND(V50-AB50,0)</f>
        <v>24515</v>
      </c>
      <c r="AD50" s="74" t="str">
        <f>VLOOKUP(B50,'Salary -Dec-2024 (Full)'!$B$6:$AE$383,29,0)</f>
        <v>Bank</v>
      </c>
      <c r="AE50" s="618" t="str">
        <f>VLOOKUP(B50,'Salary -Dec-2024 (Full)'!$B$6:$AE$2853,30,0)</f>
        <v>318.103.0001919</v>
      </c>
      <c r="AF50" s="800"/>
      <c r="AG50" s="800"/>
      <c r="AJ50" s="183"/>
      <c r="AK50" s="320"/>
    </row>
    <row r="51" spans="1:37" s="47" customFormat="1" ht="22.5" customHeight="1">
      <c r="A51" s="62">
        <v>3</v>
      </c>
      <c r="B51" s="254" t="s">
        <v>213</v>
      </c>
      <c r="C51" s="255" t="str">
        <f>VLOOKUP(B51,'Salary -Dec-2024 (Full)'!$B$6:$D$383,2,0)</f>
        <v>Md. Shamsul Alam</v>
      </c>
      <c r="D51" s="278" t="str">
        <f>VLOOKUP(B51,'Salary -Dec-2024 (Full)'!$B$6:$D$383,3,0)</f>
        <v>Assistant Territory Manager</v>
      </c>
      <c r="E51" s="256" t="str">
        <f>VLOOKUP(B51,'Salary -Dec-2024 (Full)'!$B$6:$AE$383,4,0)</f>
        <v>S&amp;M</v>
      </c>
      <c r="F51" s="265">
        <f>VLOOKUP(B51,'Salary -Dec-2024 (Full)'!$B$6:$AE$383,5,0)</f>
        <v>44625</v>
      </c>
      <c r="G51" s="257">
        <f>VLOOKUP(B51,'Salary -Dec-2024 (Full)'!$B$6:$AE$286,6,0)</f>
        <v>31</v>
      </c>
      <c r="H51" s="258">
        <f>VLOOKUP(B51,'Salary -Dec-2024 (Full)'!$B$6:$AE$383,7,0)</f>
        <v>0</v>
      </c>
      <c r="I51" s="66">
        <f t="shared" si="109"/>
        <v>31</v>
      </c>
      <c r="J51" s="67">
        <f t="shared" si="110"/>
        <v>1403.2258064516129</v>
      </c>
      <c r="K51" s="68">
        <f>VLOOKUP(B51,'Salary -Dec-2024 (Full)'!$B$6:$AE$383,10,0)</f>
        <v>43500</v>
      </c>
      <c r="L51" s="68">
        <f t="shared" si="111"/>
        <v>26100</v>
      </c>
      <c r="M51" s="68">
        <f t="shared" si="112"/>
        <v>13050</v>
      </c>
      <c r="N51" s="68">
        <f t="shared" si="113"/>
        <v>2610</v>
      </c>
      <c r="O51" s="68">
        <f t="shared" si="114"/>
        <v>1740</v>
      </c>
      <c r="P51" s="259">
        <v>0</v>
      </c>
      <c r="Q51" s="260">
        <f t="shared" si="115"/>
        <v>43500</v>
      </c>
      <c r="R51" s="70">
        <f>VLOOKUP(B51,'Salary -Dec-2024 (Full)'!$B$6:$AE$383,17,0)</f>
        <v>43500</v>
      </c>
      <c r="S51" s="192">
        <f>VLOOKUP(B51,'Salary -Dec-2024 (Full)'!$B$6:$AE$383,18,0)</f>
        <v>0</v>
      </c>
      <c r="T51" s="192">
        <f>VLOOKUP(B51,'Salary -Dec-2024 (Full)'!$B$6:$AE$383,19,0)</f>
        <v>0</v>
      </c>
      <c r="U51" s="337">
        <f>VLOOKUP(B51,'Salary -Dec-2024 (Full)'!$B$6:$AE$383,20,0)</f>
        <v>0</v>
      </c>
      <c r="V51" s="263">
        <f t="shared" si="116"/>
        <v>43500</v>
      </c>
      <c r="W51" s="192">
        <f>VLOOKUP(B51,'Salary -Dec-2024 (Full)'!$B$6:$AE$383,22,0)</f>
        <v>417</v>
      </c>
      <c r="X51" s="192">
        <f>VLOOKUP(B51,'Salary -Dec-2024 (Full)'!$B$6:$AE$383,23,0)</f>
        <v>0</v>
      </c>
      <c r="Y51" s="337">
        <f>VLOOKUP(B51,'Salary -Dec-2024 (Full)'!$B$6:$AE$383,24,0)</f>
        <v>1305</v>
      </c>
      <c r="Z51" s="192">
        <f>VLOOKUP(B51,'Salary -Dec-2024 (Full)'!$B$6:$AE$383,25,0)</f>
        <v>0</v>
      </c>
      <c r="AA51" s="192">
        <f>VLOOKUP(B51,'Salary -Dec-2024 (Full)'!$B$6:$AE$383,26,0)</f>
        <v>0</v>
      </c>
      <c r="AB51" s="73">
        <f t="shared" si="117"/>
        <v>1722</v>
      </c>
      <c r="AC51" s="73">
        <f t="shared" si="118"/>
        <v>41778</v>
      </c>
      <c r="AD51" s="74" t="str">
        <f>VLOOKUP(B51,'Salary -Dec-2024 (Full)'!$B$6:$AE$383,29,0)</f>
        <v>Bank</v>
      </c>
      <c r="AE51" s="618" t="str">
        <f>VLOOKUP(B51,'Salary -Dec-2024 (Full)'!$B$6:$AE$2853,30,0)</f>
        <v>231.158.0033558</v>
      </c>
      <c r="AF51" s="800"/>
      <c r="AG51" s="800"/>
      <c r="AH51" s="61"/>
      <c r="AI51" s="61"/>
      <c r="AJ51" s="183"/>
      <c r="AK51" s="320"/>
    </row>
    <row r="52" spans="1:37" s="47" customFormat="1" ht="22.5" customHeight="1">
      <c r="A52" s="62">
        <v>4</v>
      </c>
      <c r="B52" s="254" t="s">
        <v>224</v>
      </c>
      <c r="C52" s="255" t="str">
        <f>VLOOKUP(B52,'Salary -Dec-2024 (Full)'!$B$6:$D$383,2,0)</f>
        <v>Md. Shakibul Hasan Sharif</v>
      </c>
      <c r="D52" s="278" t="str">
        <f>VLOOKUP(B52,'Salary -Dec-2024 (Full)'!$B$6:$D$383,3,0)</f>
        <v>Territory Sales officer</v>
      </c>
      <c r="E52" s="256" t="str">
        <f>VLOOKUP(B52,'Salary -Dec-2024 (Full)'!$B$6:$AE$383,4,0)</f>
        <v>S&amp;M</v>
      </c>
      <c r="F52" s="265">
        <f>VLOOKUP(B52,'Salary -Dec-2024 (Full)'!$B$6:$AE$383,5,0)</f>
        <v>44635</v>
      </c>
      <c r="G52" s="257">
        <f>VLOOKUP(B52,'Salary -Dec-2024 (Full)'!$B$6:$AE$286,6,0)</f>
        <v>31</v>
      </c>
      <c r="H52" s="258">
        <f>VLOOKUP(B52,'Salary -Dec-2024 (Full)'!$B$6:$AE$383,7,0)</f>
        <v>0</v>
      </c>
      <c r="I52" s="66">
        <f t="shared" ref="I52:I56" si="119">G52-H52</f>
        <v>31</v>
      </c>
      <c r="J52" s="67">
        <f t="shared" ref="J52:J56" si="120">Q52/G52</f>
        <v>903.22580645161293</v>
      </c>
      <c r="K52" s="68">
        <f>VLOOKUP(B52,'Salary -Dec-2024 (Full)'!$B$6:$AE$383,10,0)</f>
        <v>28000</v>
      </c>
      <c r="L52" s="68">
        <f t="shared" ref="L52:L53" si="121">K52*60%</f>
        <v>16800</v>
      </c>
      <c r="M52" s="68">
        <f t="shared" ref="M52:M53" si="122">K52*30%</f>
        <v>8400</v>
      </c>
      <c r="N52" s="68">
        <f t="shared" ref="N52:N53" si="123">K52*6%</f>
        <v>1680</v>
      </c>
      <c r="O52" s="68">
        <f t="shared" ref="O52:O53" si="124">K52*4%</f>
        <v>1120</v>
      </c>
      <c r="P52" s="259">
        <v>0</v>
      </c>
      <c r="Q52" s="260">
        <f t="shared" si="115"/>
        <v>28000</v>
      </c>
      <c r="R52" s="70">
        <f>VLOOKUP(B52,'Salary -Dec-2024 (Full)'!$B$6:$AE$383,17,0)</f>
        <v>28000</v>
      </c>
      <c r="S52" s="192">
        <f>VLOOKUP(B52,'Salary -Dec-2024 (Full)'!$B$6:$AE$383,18,0)</f>
        <v>0</v>
      </c>
      <c r="T52" s="192">
        <f>VLOOKUP(B52,'Salary -Dec-2024 (Full)'!$B$6:$AE$383,19,0)</f>
        <v>0</v>
      </c>
      <c r="U52" s="337">
        <f>VLOOKUP(B52,'Salary -Dec-2024 (Full)'!$B$6:$AE$383,20,0)</f>
        <v>0</v>
      </c>
      <c r="V52" s="263">
        <f t="shared" si="116"/>
        <v>28000</v>
      </c>
      <c r="W52" s="192">
        <f>VLOOKUP(B52,'Salary -Dec-2024 (Full)'!$B$6:$AE$383,22,0)</f>
        <v>0</v>
      </c>
      <c r="X52" s="192">
        <f>VLOOKUP(B52,'Salary -Dec-2024 (Full)'!$B$6:$AE$383,23,0)</f>
        <v>0</v>
      </c>
      <c r="Y52" s="337">
        <f>VLOOKUP(B52,'Salary -Dec-2024 (Full)'!$B$6:$AE$383,24,0)</f>
        <v>840</v>
      </c>
      <c r="Z52" s="192">
        <f>VLOOKUP(B52,'Salary -Dec-2024 (Full)'!$B$6:$AE$383,25,0)</f>
        <v>1058</v>
      </c>
      <c r="AA52" s="192">
        <f>VLOOKUP(B52,'Salary -Dec-2024 (Full)'!$B$6:$AE$383,26,0)</f>
        <v>0</v>
      </c>
      <c r="AB52" s="73">
        <f t="shared" si="117"/>
        <v>1898</v>
      </c>
      <c r="AC52" s="73">
        <f t="shared" si="118"/>
        <v>26102</v>
      </c>
      <c r="AD52" s="74" t="str">
        <f>VLOOKUP(B52,'Salary -Dec-2024 (Full)'!$B$6:$AE$383,29,0)</f>
        <v>Bank</v>
      </c>
      <c r="AE52" s="618" t="str">
        <f>VLOOKUP(B52,'Salary -Dec-2024 (Full)'!$B$6:$AE$2853,30,0)</f>
        <v>200.151.0114322</v>
      </c>
      <c r="AF52" s="800"/>
      <c r="AG52" s="800"/>
      <c r="AH52" s="61"/>
      <c r="AI52" s="61"/>
      <c r="AJ52" s="183"/>
      <c r="AK52" s="320"/>
    </row>
    <row r="53" spans="1:37" s="61" customFormat="1" ht="22.5" customHeight="1">
      <c r="A53" s="62">
        <v>5</v>
      </c>
      <c r="B53" s="63" t="s">
        <v>235</v>
      </c>
      <c r="C53" s="255" t="str">
        <f>VLOOKUP(B53,'Salary -Dec-2024 (Full)'!$B$6:$D$383,2,0)</f>
        <v>Md. Shafiul Kamal</v>
      </c>
      <c r="D53" s="278" t="str">
        <f>VLOOKUP(B53,'Salary -Dec-2024 (Full)'!$B$6:$D$383,3,0)</f>
        <v>Assistant Regional Manager</v>
      </c>
      <c r="E53" s="256" t="str">
        <f>VLOOKUP(B53,'Salary -Dec-2024 (Full)'!$B$6:$AE$383,4,0)</f>
        <v>S&amp;M</v>
      </c>
      <c r="F53" s="265">
        <f>VLOOKUP(B53,'Salary -Dec-2024 (Full)'!$B$6:$AE$383,5,0)</f>
        <v>44641</v>
      </c>
      <c r="G53" s="257">
        <f>VLOOKUP(B53,'Salary -Dec-2024 (Full)'!$B$6:$AE$286,6,0)</f>
        <v>31</v>
      </c>
      <c r="H53" s="258">
        <f>VLOOKUP(B53,'Salary -Dec-2024 (Full)'!$B$6:$AE$383,7,0)</f>
        <v>0</v>
      </c>
      <c r="I53" s="66">
        <f t="shared" si="119"/>
        <v>31</v>
      </c>
      <c r="J53" s="67">
        <f t="shared" si="120"/>
        <v>1516.1290322580646</v>
      </c>
      <c r="K53" s="68">
        <f>VLOOKUP(B53,'Salary -Dec-2024 (Full)'!$B$6:$AE$383,10,0)</f>
        <v>47000</v>
      </c>
      <c r="L53" s="68">
        <f t="shared" si="121"/>
        <v>28200</v>
      </c>
      <c r="M53" s="68">
        <f t="shared" si="122"/>
        <v>14100</v>
      </c>
      <c r="N53" s="68">
        <f t="shared" si="123"/>
        <v>2820</v>
      </c>
      <c r="O53" s="68">
        <f t="shared" si="124"/>
        <v>1880</v>
      </c>
      <c r="P53" s="69">
        <v>0</v>
      </c>
      <c r="Q53" s="70">
        <f t="shared" si="115"/>
        <v>47000</v>
      </c>
      <c r="R53" s="70">
        <f>VLOOKUP(B53,'Salary -Dec-2024 (Full)'!$B$6:$AE$383,17,0)</f>
        <v>47000</v>
      </c>
      <c r="S53" s="192">
        <f>VLOOKUP(B53,'Salary -Dec-2024 (Full)'!$B$6:$AE$383,18,0)</f>
        <v>0</v>
      </c>
      <c r="T53" s="192">
        <f>VLOOKUP(B53,'Salary -Dec-2024 (Full)'!$B$6:$AE$383,19,0)</f>
        <v>0</v>
      </c>
      <c r="U53" s="337">
        <f>VLOOKUP(B53,'Salary -Dec-2024 (Full)'!$B$6:$AE$383,20,0)</f>
        <v>0</v>
      </c>
      <c r="V53" s="71">
        <f t="shared" si="116"/>
        <v>47000</v>
      </c>
      <c r="W53" s="192">
        <f>VLOOKUP(B53,'Salary -Dec-2024 (Full)'!$B$6:$AE$383,22,0)</f>
        <v>417</v>
      </c>
      <c r="X53" s="192">
        <f>VLOOKUP(B53,'Salary -Dec-2024 (Full)'!$B$6:$AE$383,23,0)</f>
        <v>0</v>
      </c>
      <c r="Y53" s="337">
        <f>VLOOKUP(B53,'Salary -Dec-2024 (Full)'!$B$6:$AE$383,24,0)</f>
        <v>1410</v>
      </c>
      <c r="Z53" s="192">
        <f>VLOOKUP(B53,'Salary -Dec-2024 (Full)'!$B$6:$AE$383,25,0)</f>
        <v>0</v>
      </c>
      <c r="AA53" s="192">
        <f>VLOOKUP(B53,'Salary -Dec-2024 (Full)'!$B$6:$AE$383,26,0)</f>
        <v>0</v>
      </c>
      <c r="AB53" s="73">
        <f t="shared" ref="AB53:AB56" si="125">SUM(W53:AA53)</f>
        <v>1827</v>
      </c>
      <c r="AC53" s="73">
        <f t="shared" ref="AC53:AC56" si="126">ROUND(V53-AB53,0)</f>
        <v>45173</v>
      </c>
      <c r="AD53" s="74" t="str">
        <f>VLOOKUP(B53,'Salary -Dec-2024 (Full)'!$B$6:$AE$383,29,0)</f>
        <v>Bank</v>
      </c>
      <c r="AE53" s="618" t="str">
        <f>VLOOKUP(B53,'Salary -Dec-2024 (Full)'!$B$6:$AE$2853,30,0)</f>
        <v>251.105.0021107</v>
      </c>
      <c r="AF53" s="800"/>
      <c r="AG53" s="800"/>
      <c r="AJ53" s="183"/>
      <c r="AK53" s="320"/>
    </row>
    <row r="54" spans="1:37" s="61" customFormat="1" ht="22.5" customHeight="1">
      <c r="A54" s="62">
        <v>6</v>
      </c>
      <c r="B54" s="63" t="s">
        <v>241</v>
      </c>
      <c r="C54" s="255" t="str">
        <f>VLOOKUP(B54,'Salary -Dec-2024 (Full)'!$B$6:$D$383,2,0)</f>
        <v>Md. A Wadud Mollah</v>
      </c>
      <c r="D54" s="278" t="str">
        <f>VLOOKUP(B54,'Salary -Dec-2024 (Full)'!$B$6:$D$383,3,0)</f>
        <v>AGM</v>
      </c>
      <c r="E54" s="256" t="str">
        <f>VLOOKUP(B54,'Salary -Dec-2024 (Full)'!$B$6:$AE$383,4,0)</f>
        <v>S&amp;M</v>
      </c>
      <c r="F54" s="265">
        <f>VLOOKUP(B54,'Salary -Dec-2024 (Full)'!$B$6:$AE$383,5,0)</f>
        <v>44317</v>
      </c>
      <c r="G54" s="257">
        <f>VLOOKUP(B54,'Salary -Dec-2024 (Full)'!$B$6:$AE$286,6,0)</f>
        <v>31</v>
      </c>
      <c r="H54" s="258">
        <f>VLOOKUP(B54,'Salary -Dec-2024 (Full)'!$B$6:$AE$383,7,0)</f>
        <v>0</v>
      </c>
      <c r="I54" s="66">
        <f t="shared" si="119"/>
        <v>31</v>
      </c>
      <c r="J54" s="67">
        <f t="shared" si="120"/>
        <v>3064.516129032258</v>
      </c>
      <c r="K54" s="68">
        <f>VLOOKUP(B54,'Salary -Dec-2024 (Full)'!$B$6:$AE$383,10,0)</f>
        <v>95000</v>
      </c>
      <c r="L54" s="68">
        <f t="shared" ref="L54:L56" si="127">K54*60%</f>
        <v>57000</v>
      </c>
      <c r="M54" s="68">
        <f t="shared" ref="M54:M56" si="128">K54*30%</f>
        <v>28500</v>
      </c>
      <c r="N54" s="68">
        <f t="shared" ref="N54:N56" si="129">K54*6%</f>
        <v>5700</v>
      </c>
      <c r="O54" s="68">
        <f t="shared" ref="O54:O56" si="130">K54*4%</f>
        <v>3800</v>
      </c>
      <c r="P54" s="69">
        <v>0</v>
      </c>
      <c r="Q54" s="70">
        <f t="shared" si="115"/>
        <v>95000</v>
      </c>
      <c r="R54" s="70">
        <f>VLOOKUP(B54,'Salary -Dec-2024 (Full)'!$B$6:$AE$383,17,0)</f>
        <v>95000</v>
      </c>
      <c r="S54" s="192">
        <f>VLOOKUP(B54,'Salary -Dec-2024 (Full)'!$B$6:$AE$383,18,0)</f>
        <v>0</v>
      </c>
      <c r="T54" s="192">
        <f>VLOOKUP(B54,'Salary -Dec-2024 (Full)'!$B$6:$AE$383,19,0)</f>
        <v>0</v>
      </c>
      <c r="U54" s="337">
        <f>VLOOKUP(B54,'Salary -Dec-2024 (Full)'!$B$6:$AE$383,20,0)</f>
        <v>0</v>
      </c>
      <c r="V54" s="71">
        <f t="shared" si="116"/>
        <v>95000</v>
      </c>
      <c r="W54" s="192">
        <f>VLOOKUP(B54,'Salary -Dec-2024 (Full)'!$B$6:$AE$383,22,0)</f>
        <v>1725.8571428571429</v>
      </c>
      <c r="X54" s="192">
        <f>VLOOKUP(B54,'Salary -Dec-2024 (Full)'!$B$6:$AE$383,23,0)</f>
        <v>0</v>
      </c>
      <c r="Y54" s="337">
        <f>VLOOKUP(B54,'Salary -Dec-2024 (Full)'!$B$6:$AE$383,24,0)</f>
        <v>2850</v>
      </c>
      <c r="Z54" s="192">
        <f>VLOOKUP(B54,'Salary -Dec-2024 (Full)'!$B$6:$AE$383,25,0)</f>
        <v>0</v>
      </c>
      <c r="AA54" s="192">
        <f>VLOOKUP(B54,'Salary -Dec-2024 (Full)'!$B$6:$AE$383,26,0)</f>
        <v>0</v>
      </c>
      <c r="AB54" s="73">
        <f t="shared" si="125"/>
        <v>4575.8571428571431</v>
      </c>
      <c r="AC54" s="73">
        <f t="shared" si="126"/>
        <v>90424</v>
      </c>
      <c r="AD54" s="74" t="str">
        <f>VLOOKUP(B54,'Salary -Dec-2024 (Full)'!$B$6:$AE$383,29,0)</f>
        <v>Bank</v>
      </c>
      <c r="AE54" s="618" t="str">
        <f>VLOOKUP(B54,'Salary -Dec-2024 (Full)'!$B$6:$AE$2853,30,0)</f>
        <v>103.103.1252463</v>
      </c>
      <c r="AF54" s="800"/>
      <c r="AG54" s="800"/>
      <c r="AJ54" s="183"/>
      <c r="AK54" s="320"/>
    </row>
    <row r="55" spans="1:37" s="61" customFormat="1" ht="22.5" customHeight="1">
      <c r="A55" s="62">
        <v>7</v>
      </c>
      <c r="B55" s="63" t="s">
        <v>244</v>
      </c>
      <c r="C55" s="255" t="str">
        <f>VLOOKUP(B55,'Salary -Dec-2024 (Full)'!$B$6:$D$383,2,0)</f>
        <v>Minhaz Al Hoque</v>
      </c>
      <c r="D55" s="278" t="str">
        <f>VLOOKUP(B55,'Salary -Dec-2024 (Full)'!$B$6:$D$383,3,0)</f>
        <v>RM</v>
      </c>
      <c r="E55" s="256" t="str">
        <f>VLOOKUP(B55,'Salary -Dec-2024 (Full)'!$B$6:$AE$383,4,0)</f>
        <v>S&amp;M</v>
      </c>
      <c r="F55" s="265">
        <f>VLOOKUP(B55,'Salary -Dec-2024 (Full)'!$B$6:$AE$383,5,0)</f>
        <v>44440</v>
      </c>
      <c r="G55" s="257">
        <f>VLOOKUP(B55,'Salary -Dec-2024 (Full)'!$B$6:$AE$286,6,0)</f>
        <v>31</v>
      </c>
      <c r="H55" s="258">
        <f>VLOOKUP(B55,'Salary -Dec-2024 (Full)'!$B$6:$AE$383,7,0)</f>
        <v>0</v>
      </c>
      <c r="I55" s="66">
        <f t="shared" si="119"/>
        <v>31</v>
      </c>
      <c r="J55" s="67">
        <f t="shared" si="120"/>
        <v>2096.7741935483873</v>
      </c>
      <c r="K55" s="68">
        <f>VLOOKUP(B55,'Salary -Dec-2024 (Full)'!$B$6:$AE$383,10,0)</f>
        <v>65000</v>
      </c>
      <c r="L55" s="68">
        <f t="shared" si="127"/>
        <v>39000</v>
      </c>
      <c r="M55" s="68">
        <f t="shared" si="128"/>
        <v>19500</v>
      </c>
      <c r="N55" s="68">
        <f t="shared" si="129"/>
        <v>3900</v>
      </c>
      <c r="O55" s="68">
        <f t="shared" si="130"/>
        <v>2600</v>
      </c>
      <c r="P55" s="69">
        <v>0</v>
      </c>
      <c r="Q55" s="70">
        <f t="shared" si="115"/>
        <v>65000</v>
      </c>
      <c r="R55" s="70">
        <f>VLOOKUP(B55,'Salary -Dec-2024 (Full)'!$B$6:$AE$383,17,0)</f>
        <v>65000</v>
      </c>
      <c r="S55" s="192">
        <f>VLOOKUP(B55,'Salary -Dec-2024 (Full)'!$B$6:$AE$383,18,0)</f>
        <v>0</v>
      </c>
      <c r="T55" s="192">
        <f>VLOOKUP(B55,'Salary -Dec-2024 (Full)'!$B$6:$AE$383,19,0)</f>
        <v>0</v>
      </c>
      <c r="U55" s="337">
        <f>VLOOKUP(B55,'Salary -Dec-2024 (Full)'!$B$6:$AE$383,20,0)</f>
        <v>0</v>
      </c>
      <c r="V55" s="71">
        <f t="shared" si="116"/>
        <v>65000</v>
      </c>
      <c r="W55" s="192">
        <f>VLOOKUP(B55,'Salary -Dec-2024 (Full)'!$B$6:$AE$383,22,0)</f>
        <v>417</v>
      </c>
      <c r="X55" s="192">
        <f>VLOOKUP(B55,'Salary -Dec-2024 (Full)'!$B$6:$AE$383,23,0)</f>
        <v>0</v>
      </c>
      <c r="Y55" s="337">
        <f>VLOOKUP(B55,'Salary -Dec-2024 (Full)'!$B$6:$AE$383,24,0)</f>
        <v>1950</v>
      </c>
      <c r="Z55" s="192">
        <f>VLOOKUP(B55,'Salary -Dec-2024 (Full)'!$B$6:$AE$383,25,0)</f>
        <v>3118</v>
      </c>
      <c r="AA55" s="192">
        <f>VLOOKUP(B55,'Salary -Dec-2024 (Full)'!$B$6:$AE$383,26,0)</f>
        <v>0</v>
      </c>
      <c r="AB55" s="73">
        <f t="shared" si="125"/>
        <v>5485</v>
      </c>
      <c r="AC55" s="73">
        <f t="shared" si="126"/>
        <v>59515</v>
      </c>
      <c r="AD55" s="74" t="str">
        <f>VLOOKUP(B55,'Salary -Dec-2024 (Full)'!$B$6:$AE$383,29,0)</f>
        <v>Bank</v>
      </c>
      <c r="AE55" s="618" t="str">
        <f>VLOOKUP(B55,'Salary -Dec-2024 (Full)'!$B$6:$AE$2853,30,0)</f>
        <v>103.103.1252512</v>
      </c>
      <c r="AF55" s="800"/>
      <c r="AG55" s="800"/>
      <c r="AJ55" s="183"/>
      <c r="AK55" s="320"/>
    </row>
    <row r="56" spans="1:37" s="47" customFormat="1" ht="22.5" customHeight="1">
      <c r="A56" s="62">
        <v>8</v>
      </c>
      <c r="B56" s="254" t="s">
        <v>279</v>
      </c>
      <c r="C56" s="255" t="str">
        <f>VLOOKUP(B56,'Salary -Dec-2024 (Full)'!$B$6:$D$383,2,0)</f>
        <v>Md. Tanvir Islam</v>
      </c>
      <c r="D56" s="278" t="str">
        <f>VLOOKUP(B56,'Salary -Dec-2024 (Full)'!$B$6:$D$383,3,0)</f>
        <v>Sr. Territory Manager</v>
      </c>
      <c r="E56" s="256" t="str">
        <f>VLOOKUP(B56,'Salary -Dec-2024 (Full)'!$B$6:$AE$383,4,0)</f>
        <v>S&amp;M</v>
      </c>
      <c r="F56" s="265">
        <f>VLOOKUP(B56,'Salary -Dec-2024 (Full)'!$B$6:$AE$383,5,0)</f>
        <v>44874</v>
      </c>
      <c r="G56" s="257">
        <f>VLOOKUP(B56,'Salary -Dec-2024 (Full)'!$B$6:$AE$286,6,0)</f>
        <v>31</v>
      </c>
      <c r="H56" s="258">
        <f>VLOOKUP(B56,'Salary -Dec-2024 (Full)'!$B$6:$AE$383,7,0)</f>
        <v>0</v>
      </c>
      <c r="I56" s="66">
        <f t="shared" si="119"/>
        <v>31</v>
      </c>
      <c r="J56" s="67">
        <f t="shared" si="120"/>
        <v>1612.9032258064517</v>
      </c>
      <c r="K56" s="68">
        <f>VLOOKUP(B56,'Salary -Dec-2024 (Full)'!$B$6:$AE$383,10,0)</f>
        <v>50000</v>
      </c>
      <c r="L56" s="68">
        <f t="shared" si="127"/>
        <v>30000</v>
      </c>
      <c r="M56" s="68">
        <f t="shared" si="128"/>
        <v>15000</v>
      </c>
      <c r="N56" s="68">
        <f t="shared" si="129"/>
        <v>3000</v>
      </c>
      <c r="O56" s="68">
        <f t="shared" si="130"/>
        <v>2000</v>
      </c>
      <c r="P56" s="259"/>
      <c r="Q56" s="260">
        <f t="shared" si="115"/>
        <v>50000</v>
      </c>
      <c r="R56" s="70">
        <f>VLOOKUP(B56,'Salary -Dec-2024 (Full)'!$B$6:$AE$383,17,0)</f>
        <v>50000</v>
      </c>
      <c r="S56" s="192">
        <f>VLOOKUP(B56,'Salary -Dec-2024 (Full)'!$B$6:$AE$383,18,0)</f>
        <v>0</v>
      </c>
      <c r="T56" s="192">
        <f>VLOOKUP(B56,'Salary -Dec-2024 (Full)'!$B$6:$AE$383,19,0)</f>
        <v>0</v>
      </c>
      <c r="U56" s="337">
        <f>VLOOKUP(B56,'Salary -Dec-2024 (Full)'!$B$6:$AE$383,20,0)</f>
        <v>0</v>
      </c>
      <c r="V56" s="263">
        <f t="shared" ref="V56" si="131">SUM(R56:U56)</f>
        <v>50000</v>
      </c>
      <c r="W56" s="192">
        <f>VLOOKUP(B56,'Salary -Dec-2024 (Full)'!$B$6:$AE$383,22,0)</f>
        <v>417</v>
      </c>
      <c r="X56" s="192">
        <f>VLOOKUP(B56,'Salary -Dec-2024 (Full)'!$B$6:$AE$383,23,0)</f>
        <v>0</v>
      </c>
      <c r="Y56" s="337">
        <f>VLOOKUP(B56,'Salary -Dec-2024 (Full)'!$B$6:$AE$383,24,0)</f>
        <v>1500</v>
      </c>
      <c r="Z56" s="192">
        <f>VLOOKUP(B56,'Salary -Dec-2024 (Full)'!$B$6:$AE$383,25,0)</f>
        <v>1058</v>
      </c>
      <c r="AA56" s="192">
        <f>VLOOKUP(B56,'Salary -Dec-2024 (Full)'!$B$6:$AE$383,26,0)</f>
        <v>0</v>
      </c>
      <c r="AB56" s="73">
        <f t="shared" si="125"/>
        <v>2975</v>
      </c>
      <c r="AC56" s="73">
        <f t="shared" si="126"/>
        <v>47025</v>
      </c>
      <c r="AD56" s="74" t="str">
        <f>VLOOKUP(B56,'Salary -Dec-2024 (Full)'!$B$6:$AE$383,29,0)</f>
        <v>Bank</v>
      </c>
      <c r="AE56" s="618" t="str">
        <f>VLOOKUP(B56,'Salary -Dec-2024 (Full)'!$B$6:$AE$2853,30,0)</f>
        <v>204.157.0005987</v>
      </c>
      <c r="AF56" s="800"/>
      <c r="AG56" s="800"/>
      <c r="AH56" s="61"/>
      <c r="AI56" s="61"/>
      <c r="AJ56" s="183"/>
      <c r="AK56" s="320"/>
    </row>
    <row r="57" spans="1:37" s="30" customFormat="1" ht="17.25" customHeight="1">
      <c r="A57" s="1031" t="s">
        <v>67</v>
      </c>
      <c r="B57" s="1032"/>
      <c r="C57" s="1033"/>
      <c r="D57" s="1034"/>
      <c r="E57" s="1040"/>
      <c r="F57" s="1040"/>
      <c r="G57" s="1040"/>
      <c r="H57" s="1040"/>
      <c r="I57" s="1040"/>
      <c r="J57" s="1040"/>
      <c r="K57" s="1037">
        <f t="shared" ref="K57:AC57" si="132">SUM(K49:K56)</f>
        <v>388500</v>
      </c>
      <c r="L57" s="1037">
        <f t="shared" si="132"/>
        <v>233100</v>
      </c>
      <c r="M57" s="1037">
        <f t="shared" si="132"/>
        <v>116550</v>
      </c>
      <c r="N57" s="1037">
        <f t="shared" si="132"/>
        <v>23310</v>
      </c>
      <c r="O57" s="1037">
        <f t="shared" si="132"/>
        <v>15540</v>
      </c>
      <c r="P57" s="1037">
        <f t="shared" si="132"/>
        <v>0</v>
      </c>
      <c r="Q57" s="1037">
        <f t="shared" si="132"/>
        <v>388500</v>
      </c>
      <c r="R57" s="1037">
        <f t="shared" si="132"/>
        <v>388500</v>
      </c>
      <c r="S57" s="1037">
        <f t="shared" si="132"/>
        <v>2000</v>
      </c>
      <c r="T57" s="1037">
        <f t="shared" si="132"/>
        <v>0</v>
      </c>
      <c r="U57" s="1037">
        <f t="shared" si="132"/>
        <v>0</v>
      </c>
      <c r="V57" s="1037">
        <f t="shared" si="132"/>
        <v>390500</v>
      </c>
      <c r="W57" s="1037">
        <f t="shared" si="132"/>
        <v>3393.8571428571431</v>
      </c>
      <c r="X57" s="1037">
        <f t="shared" si="132"/>
        <v>0</v>
      </c>
      <c r="Y57" s="1037">
        <f t="shared" si="132"/>
        <v>11655</v>
      </c>
      <c r="Z57" s="1037">
        <f t="shared" si="132"/>
        <v>9554</v>
      </c>
      <c r="AA57" s="1037">
        <f t="shared" si="132"/>
        <v>0</v>
      </c>
      <c r="AB57" s="1037">
        <f t="shared" si="132"/>
        <v>24602.857142857145</v>
      </c>
      <c r="AC57" s="1037">
        <f t="shared" si="132"/>
        <v>365897</v>
      </c>
      <c r="AD57" s="1038"/>
      <c r="AE57" s="1042"/>
      <c r="AF57" s="801"/>
      <c r="AG57" s="801"/>
      <c r="AH57" s="61"/>
      <c r="AI57" s="61"/>
      <c r="AJ57" s="183"/>
      <c r="AK57" s="320"/>
    </row>
    <row r="58" spans="1:37" s="47" customFormat="1" ht="19.5" customHeight="1">
      <c r="A58" s="116" t="s">
        <v>534</v>
      </c>
      <c r="B58" s="117"/>
      <c r="C58" s="117"/>
      <c r="D58" s="283"/>
      <c r="E58" s="117"/>
      <c r="F58" s="117"/>
      <c r="G58" s="117"/>
      <c r="H58" s="24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620"/>
      <c r="AF58" s="802"/>
      <c r="AG58" s="802"/>
      <c r="AH58" s="61"/>
      <c r="AI58" s="61"/>
      <c r="AJ58" s="183"/>
      <c r="AK58" s="320"/>
    </row>
    <row r="59" spans="1:37" s="61" customFormat="1" ht="22.5" customHeight="1">
      <c r="A59" s="62">
        <v>1</v>
      </c>
      <c r="B59" s="63" t="s">
        <v>299</v>
      </c>
      <c r="C59" s="255" t="str">
        <f>VLOOKUP(B59,'Salary -Dec-2024 (Full)'!$B$6:$D$383,2,0)</f>
        <v>Md. Abdullah Al Atick</v>
      </c>
      <c r="D59" s="278" t="str">
        <f>VLOOKUP(B59,'Salary -Dec-2024 (Full)'!$B$6:$D$383,3,0)</f>
        <v>Deputy Regional Manager</v>
      </c>
      <c r="E59" s="256" t="str">
        <f>VLOOKUP(B59,'Salary -Dec-2024 (Full)'!$B$6:$AE$383,4,0)</f>
        <v>CRRM</v>
      </c>
      <c r="F59" s="265">
        <f>VLOOKUP(B59,'Salary -Dec-2024 (Full)'!$B$6:$AE$383,5,0)</f>
        <v>44716</v>
      </c>
      <c r="G59" s="257">
        <f>VLOOKUP(B59,'Salary -Dec-2024 (Full)'!$B$6:$AE$286,6,0)</f>
        <v>31</v>
      </c>
      <c r="H59" s="258">
        <f>VLOOKUP(B59,'Salary -Dec-2024 (Full)'!$B$6:$AE$383,7,0)</f>
        <v>0</v>
      </c>
      <c r="I59" s="66">
        <f t="shared" ref="I59:I60" si="133">G59-H59</f>
        <v>31</v>
      </c>
      <c r="J59" s="67">
        <f t="shared" ref="J59:J60" si="134">Q59/G59</f>
        <v>1870.9677419354839</v>
      </c>
      <c r="K59" s="68">
        <f>VLOOKUP(B59,'Salary -Dec-2024 (Full)'!$B$6:$AE$383,10,0)</f>
        <v>58000</v>
      </c>
      <c r="L59" s="68">
        <f t="shared" ref="L59:L60" si="135">K59*60%</f>
        <v>34800</v>
      </c>
      <c r="M59" s="68">
        <f t="shared" ref="M59:M60" si="136">K59*30%</f>
        <v>17400</v>
      </c>
      <c r="N59" s="68">
        <f t="shared" ref="N59:N60" si="137">K59*6%</f>
        <v>3480</v>
      </c>
      <c r="O59" s="68">
        <f t="shared" ref="O59:O60" si="138">K59*4%</f>
        <v>2320</v>
      </c>
      <c r="P59" s="259"/>
      <c r="Q59" s="260">
        <f t="shared" ref="Q59:Q60" si="139">SUM(L59:P59)</f>
        <v>58000</v>
      </c>
      <c r="R59" s="70">
        <f>VLOOKUP(B59,'Salary -Dec-2024 (Full)'!$B$6:$AE$383,17,0)</f>
        <v>58000</v>
      </c>
      <c r="S59" s="192">
        <f>VLOOKUP(B59,'Salary -Dec-2024 (Full)'!$B$6:$AE$383,18,0)</f>
        <v>0</v>
      </c>
      <c r="T59" s="192">
        <f>VLOOKUP(B59,'Salary -Dec-2024 (Full)'!$B$6:$AE$383,19,0)</f>
        <v>0</v>
      </c>
      <c r="U59" s="337">
        <f>VLOOKUP(B59,'Salary -Dec-2024 (Full)'!$B$6:$AE$383,20,0)</f>
        <v>0</v>
      </c>
      <c r="V59" s="263">
        <f t="shared" ref="V59:V60" si="140">SUM(R59:U59)</f>
        <v>58000</v>
      </c>
      <c r="W59" s="192">
        <f>VLOOKUP(B59,'Salary -Dec-2024 (Full)'!$B$6:$AE$383,22,0)</f>
        <v>417</v>
      </c>
      <c r="X59" s="192">
        <f>VLOOKUP(B59,'Salary -Dec-2024 (Full)'!$B$6:$AE$383,23,0)</f>
        <v>0</v>
      </c>
      <c r="Y59" s="337">
        <f>VLOOKUP(B59,'Salary -Dec-2024 (Full)'!$B$6:$AE$383,24,0)</f>
        <v>1740</v>
      </c>
      <c r="Z59" s="192">
        <f>VLOOKUP(B59,'Salary -Dec-2024 (Full)'!$B$6:$AE$383,25,0)</f>
        <v>0</v>
      </c>
      <c r="AA59" s="192">
        <f>VLOOKUP(B59,'Salary -Dec-2024 (Full)'!$B$6:$AE$383,26,0)</f>
        <v>0</v>
      </c>
      <c r="AB59" s="73">
        <f t="shared" ref="AB59:AB60" si="141">SUM(W59:AA59)</f>
        <v>2157</v>
      </c>
      <c r="AC59" s="73">
        <f t="shared" ref="AC59:AC60" si="142">ROUND(V59-AB59,0)</f>
        <v>55843</v>
      </c>
      <c r="AD59" s="74" t="str">
        <f>VLOOKUP(B59,'Salary -Dec-2024 (Full)'!$B$6:$AE$383,29,0)</f>
        <v>Bank</v>
      </c>
      <c r="AE59" s="618" t="str">
        <f>VLOOKUP(B59,'Salary -Dec-2024 (Full)'!$B$6:$AE$2853,30,0)</f>
        <v>289.158.0012310</v>
      </c>
      <c r="AF59" s="800"/>
      <c r="AG59" s="800"/>
      <c r="AJ59" s="183"/>
      <c r="AK59" s="320"/>
    </row>
    <row r="60" spans="1:37" s="61" customFormat="1" ht="22.5" customHeight="1">
      <c r="A60" s="62">
        <v>2</v>
      </c>
      <c r="B60" s="63" t="s">
        <v>302</v>
      </c>
      <c r="C60" s="255" t="str">
        <f>VLOOKUP(B60,'Salary -Dec-2024 (Full)'!$B$6:$D$383,2,0)</f>
        <v>Md. Sadak Hossain Palash</v>
      </c>
      <c r="D60" s="278" t="str">
        <f>VLOOKUP(B60,'Salary -Dec-2024 (Full)'!$B$6:$D$383,3,0)</f>
        <v>DGM (CRRM)</v>
      </c>
      <c r="E60" s="256" t="str">
        <f>VLOOKUP(B60,'Salary -Dec-2024 (Full)'!$B$6:$AE$383,4,0)</f>
        <v>CRRM</v>
      </c>
      <c r="F60" s="265">
        <f>VLOOKUP(B60,'Salary -Dec-2024 (Full)'!$B$6:$AE$383,5,0)</f>
        <v>40238</v>
      </c>
      <c r="G60" s="257">
        <f>VLOOKUP(B60,'Salary -Dec-2024 (Full)'!$B$6:$AE$286,6,0)</f>
        <v>31</v>
      </c>
      <c r="H60" s="258">
        <f>VLOOKUP(B60,'Salary -Dec-2024 (Full)'!$B$6:$AE$383,7,0)</f>
        <v>0</v>
      </c>
      <c r="I60" s="66">
        <f t="shared" si="133"/>
        <v>31</v>
      </c>
      <c r="J60" s="67">
        <f t="shared" si="134"/>
        <v>2995.9677419354839</v>
      </c>
      <c r="K60" s="68">
        <f>VLOOKUP(B60,'Salary -Dec-2024 (Full)'!$B$6:$AE$383,10,0)</f>
        <v>92875</v>
      </c>
      <c r="L60" s="68">
        <f t="shared" si="135"/>
        <v>55725</v>
      </c>
      <c r="M60" s="68">
        <f t="shared" si="136"/>
        <v>27862.5</v>
      </c>
      <c r="N60" s="68">
        <f t="shared" si="137"/>
        <v>5572.5</v>
      </c>
      <c r="O60" s="68">
        <f t="shared" si="138"/>
        <v>3715</v>
      </c>
      <c r="P60" s="259"/>
      <c r="Q60" s="260">
        <f t="shared" si="139"/>
        <v>92875</v>
      </c>
      <c r="R60" s="70">
        <f>VLOOKUP(B60,'Salary -Dec-2024 (Full)'!$B$6:$AE$383,17,0)</f>
        <v>92875</v>
      </c>
      <c r="S60" s="192">
        <f>VLOOKUP(B60,'Salary -Dec-2024 (Full)'!$B$6:$AE$383,18,0)</f>
        <v>0</v>
      </c>
      <c r="T60" s="192">
        <f>VLOOKUP(B60,'Salary -Dec-2024 (Full)'!$B$6:$AE$383,19,0)</f>
        <v>0</v>
      </c>
      <c r="U60" s="337">
        <f>VLOOKUP(B60,'Salary -Dec-2024 (Full)'!$B$6:$AE$383,20,0)</f>
        <v>0</v>
      </c>
      <c r="V60" s="263">
        <f t="shared" si="140"/>
        <v>92875</v>
      </c>
      <c r="W60" s="192">
        <f>VLOOKUP(B60,'Salary -Dec-2024 (Full)'!$B$6:$AE$383,22,0)</f>
        <v>1434</v>
      </c>
      <c r="X60" s="192">
        <f>VLOOKUP(B60,'Salary -Dec-2024 (Full)'!$B$6:$AE$383,23,0)</f>
        <v>0</v>
      </c>
      <c r="Y60" s="337">
        <f>VLOOKUP(B60,'Salary -Dec-2024 (Full)'!$B$6:$AE$383,24,0)</f>
        <v>2786</v>
      </c>
      <c r="Z60" s="192">
        <f>VLOOKUP(B60,'Salary -Dec-2024 (Full)'!$B$6:$AE$383,25,0)</f>
        <v>0</v>
      </c>
      <c r="AA60" s="192">
        <f>VLOOKUP(B60,'Salary -Dec-2024 (Full)'!$B$6:$AE$383,26,0)</f>
        <v>25000</v>
      </c>
      <c r="AB60" s="73">
        <f t="shared" si="141"/>
        <v>29220</v>
      </c>
      <c r="AC60" s="73">
        <f t="shared" si="142"/>
        <v>63655</v>
      </c>
      <c r="AD60" s="74" t="str">
        <f>VLOOKUP(B60,'Salary -Dec-2024 (Full)'!$B$6:$AE$383,29,0)</f>
        <v>Bank</v>
      </c>
      <c r="AE60" s="618" t="str">
        <f>VLOOKUP(B60,'Salary -Dec-2024 (Full)'!$B$6:$AE$2853,30,0)</f>
        <v>147.103.0471469</v>
      </c>
      <c r="AF60" s="800"/>
      <c r="AG60" s="800"/>
      <c r="AJ60" s="183"/>
      <c r="AK60" s="320"/>
    </row>
    <row r="61" spans="1:37" s="61" customFormat="1" ht="18" customHeight="1">
      <c r="A61" s="1031" t="s">
        <v>67</v>
      </c>
      <c r="B61" s="1032"/>
      <c r="C61" s="1033"/>
      <c r="D61" s="1034"/>
      <c r="E61" s="1040"/>
      <c r="F61" s="1040"/>
      <c r="G61" s="1040"/>
      <c r="H61" s="1040"/>
      <c r="I61" s="1040"/>
      <c r="J61" s="1040"/>
      <c r="K61" s="1037">
        <f t="shared" ref="K61:AC61" si="143">SUM(K59:K60)</f>
        <v>150875</v>
      </c>
      <c r="L61" s="1037">
        <f t="shared" si="143"/>
        <v>90525</v>
      </c>
      <c r="M61" s="1037">
        <f t="shared" si="143"/>
        <v>45262.5</v>
      </c>
      <c r="N61" s="1037">
        <f t="shared" si="143"/>
        <v>9052.5</v>
      </c>
      <c r="O61" s="1037">
        <f t="shared" si="143"/>
        <v>6035</v>
      </c>
      <c r="P61" s="1037">
        <f t="shared" si="143"/>
        <v>0</v>
      </c>
      <c r="Q61" s="1037">
        <f t="shared" si="143"/>
        <v>150875</v>
      </c>
      <c r="R61" s="1037">
        <f t="shared" si="143"/>
        <v>150875</v>
      </c>
      <c r="S61" s="1037">
        <f t="shared" si="143"/>
        <v>0</v>
      </c>
      <c r="T61" s="1037">
        <f t="shared" si="143"/>
        <v>0</v>
      </c>
      <c r="U61" s="1037">
        <f t="shared" si="143"/>
        <v>0</v>
      </c>
      <c r="V61" s="1037">
        <f t="shared" si="143"/>
        <v>150875</v>
      </c>
      <c r="W61" s="1037">
        <f t="shared" si="143"/>
        <v>1851</v>
      </c>
      <c r="X61" s="1037">
        <f t="shared" si="143"/>
        <v>0</v>
      </c>
      <c r="Y61" s="1037">
        <f t="shared" si="143"/>
        <v>4526</v>
      </c>
      <c r="Z61" s="1037">
        <f t="shared" si="143"/>
        <v>0</v>
      </c>
      <c r="AA61" s="1037">
        <f t="shared" si="143"/>
        <v>25000</v>
      </c>
      <c r="AB61" s="1037">
        <f t="shared" si="143"/>
        <v>31377</v>
      </c>
      <c r="AC61" s="1037">
        <f t="shared" si="143"/>
        <v>119498</v>
      </c>
      <c r="AD61" s="1037"/>
      <c r="AE61" s="1042"/>
      <c r="AF61" s="801"/>
      <c r="AG61" s="801"/>
      <c r="AJ61" s="183"/>
      <c r="AK61" s="320"/>
    </row>
    <row r="62" spans="1:37" s="47" customFormat="1" ht="18.75" customHeight="1">
      <c r="A62" s="116" t="s">
        <v>1243</v>
      </c>
      <c r="B62" s="117"/>
      <c r="C62" s="117"/>
      <c r="D62" s="283"/>
      <c r="E62" s="117"/>
      <c r="F62" s="117"/>
      <c r="G62" s="117"/>
      <c r="H62" s="24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620"/>
      <c r="AF62" s="802"/>
      <c r="AG62" s="802"/>
      <c r="AH62" s="61"/>
      <c r="AI62" s="61"/>
      <c r="AJ62" s="183"/>
      <c r="AK62" s="320"/>
    </row>
    <row r="63" spans="1:37" s="61" customFormat="1" ht="24" customHeight="1">
      <c r="A63" s="62">
        <v>1</v>
      </c>
      <c r="B63" s="63" t="s">
        <v>265</v>
      </c>
      <c r="C63" s="255" t="str">
        <f>VLOOKUP(B63,'Salary -Dec-2024 (Full)'!$B$6:$D$383,2,0)</f>
        <v>Farhin Tajrin</v>
      </c>
      <c r="D63" s="278" t="str">
        <f>VLOOKUP(B63,'Salary -Dec-2024 (Full)'!$B$6:$D$383,3,0)</f>
        <v>Management Trainee</v>
      </c>
      <c r="E63" s="256" t="str">
        <f>VLOOKUP(B63,'Salary -Dec-2024 (Full)'!$B$6:$AE$383,4,0)</f>
        <v>Operation</v>
      </c>
      <c r="F63" s="265">
        <f>VLOOKUP(B63,'Salary -Dec-2024 (Full)'!$B$6:$AE$383,5,0)</f>
        <v>44713</v>
      </c>
      <c r="G63" s="257">
        <f>VLOOKUP(B63,'Salary -Dec-2024 (Full)'!$B$6:$AE$286,6,0)</f>
        <v>31</v>
      </c>
      <c r="H63" s="258">
        <f>VLOOKUP(B63,'Salary -Dec-2024 (Full)'!$B$6:$AE$383,7,0)</f>
        <v>0</v>
      </c>
      <c r="I63" s="66">
        <f t="shared" ref="I63:I65" si="144">G63-H63</f>
        <v>31</v>
      </c>
      <c r="J63" s="67">
        <f t="shared" ref="J63:J65" si="145">Q63/G63</f>
        <v>806.45161290322585</v>
      </c>
      <c r="K63" s="68">
        <f>VLOOKUP(B63,'Salary -Dec-2024 (Full)'!$B$6:$AE$383,10,0)</f>
        <v>25000</v>
      </c>
      <c r="L63" s="68">
        <f t="shared" ref="L63" si="146">K63*60%</f>
        <v>15000</v>
      </c>
      <c r="M63" s="68">
        <f t="shared" ref="M63" si="147">K63*30%</f>
        <v>7500</v>
      </c>
      <c r="N63" s="68">
        <f t="shared" ref="N63" si="148">K63*6%</f>
        <v>1500</v>
      </c>
      <c r="O63" s="68">
        <f t="shared" ref="O63" si="149">K63*4%</f>
        <v>1000</v>
      </c>
      <c r="P63" s="259"/>
      <c r="Q63" s="260">
        <f t="shared" ref="Q63:Q65" si="150">SUM(L63:P63)</f>
        <v>25000</v>
      </c>
      <c r="R63" s="70">
        <f>VLOOKUP(B63,'Salary -Dec-2024 (Full)'!$B$6:$AE$383,17,0)</f>
        <v>25000</v>
      </c>
      <c r="S63" s="192">
        <f>VLOOKUP(B63,'Salary -Dec-2024 (Full)'!$B$6:$AE$383,18,0)</f>
        <v>0</v>
      </c>
      <c r="T63" s="192">
        <f>VLOOKUP(B63,'Salary -Dec-2024 (Full)'!$B$6:$AE$383,19,0)</f>
        <v>0</v>
      </c>
      <c r="U63" s="337">
        <f>VLOOKUP(B63,'Salary -Dec-2024 (Full)'!$B$6:$AE$383,20,0)</f>
        <v>0</v>
      </c>
      <c r="V63" s="263">
        <f t="shared" ref="V63:V65" si="151">SUM(R63:U63)</f>
        <v>25000</v>
      </c>
      <c r="W63" s="192">
        <f>VLOOKUP(B63,'Salary -Dec-2024 (Full)'!$B$6:$AE$383,22,0)</f>
        <v>0</v>
      </c>
      <c r="X63" s="192">
        <f>VLOOKUP(B63,'Salary -Dec-2024 (Full)'!$B$6:$AE$383,23,0)</f>
        <v>0</v>
      </c>
      <c r="Y63" s="337">
        <f>VLOOKUP(B63,'Salary -Dec-2024 (Full)'!$B$6:$AE$383,24,0)</f>
        <v>750</v>
      </c>
      <c r="Z63" s="192">
        <f>VLOOKUP(B63,'Salary -Dec-2024 (Full)'!$B$6:$AE$383,25,0)</f>
        <v>0</v>
      </c>
      <c r="AA63" s="192">
        <f>VLOOKUP(B63,'Salary -Dec-2024 (Full)'!$B$6:$AE$383,26,0)</f>
        <v>0</v>
      </c>
      <c r="AB63" s="73">
        <f t="shared" ref="AB63:AB64" si="152">SUM(W63:AA63)</f>
        <v>750</v>
      </c>
      <c r="AC63" s="73">
        <f t="shared" ref="AC63:AC64" si="153">ROUND(V63-AB63,0)</f>
        <v>24250</v>
      </c>
      <c r="AD63" s="74" t="str">
        <f>VLOOKUP(B63,'Salary -Dec-2024 (Full)'!$B$6:$AE$383,29,0)</f>
        <v>Bank</v>
      </c>
      <c r="AE63" s="618" t="str">
        <f>VLOOKUP(B63,'Salary -Dec-2024 (Full)'!$B$6:$AE$2853,30,0)</f>
        <v>103.103.1298363</v>
      </c>
      <c r="AF63" s="800"/>
      <c r="AG63" s="800"/>
      <c r="AJ63" s="183"/>
      <c r="AK63" s="320"/>
    </row>
    <row r="64" spans="1:37" s="61" customFormat="1" ht="24" customHeight="1">
      <c r="A64" s="62">
        <v>2</v>
      </c>
      <c r="B64" s="63" t="s">
        <v>253</v>
      </c>
      <c r="C64" s="255" t="str">
        <f>VLOOKUP(B64,'Salary -Dec-2024 (Full)'!$B$6:$D$383,2,0)</f>
        <v>Nazmun Sadman Sakib</v>
      </c>
      <c r="D64" s="278" t="str">
        <f>VLOOKUP(B64,'Salary -Dec-2024 (Full)'!$B$6:$D$383,3,0)</f>
        <v>Assistant Manager</v>
      </c>
      <c r="E64" s="256" t="str">
        <f>VLOOKUP(B64,'Salary -Dec-2024 (Full)'!$B$6:$AE$383,4,0)</f>
        <v>Operations</v>
      </c>
      <c r="F64" s="265">
        <f>VLOOKUP(B64,'Salary -Dec-2024 (Full)'!$B$6:$AE$383,5,0)</f>
        <v>44556</v>
      </c>
      <c r="G64" s="257">
        <f>VLOOKUP(B64,'Salary -Dec-2024 (Full)'!$B$6:$AE$286,6,0)</f>
        <v>31</v>
      </c>
      <c r="H64" s="258">
        <f>VLOOKUP(B64,'Salary -Dec-2024 (Full)'!$B$6:$AE$383,7,0)</f>
        <v>0</v>
      </c>
      <c r="I64" s="66">
        <f t="shared" si="144"/>
        <v>31</v>
      </c>
      <c r="J64" s="67">
        <f t="shared" si="145"/>
        <v>1129.0322580645161</v>
      </c>
      <c r="K64" s="68">
        <f>VLOOKUP(B64,'Salary -Dec-2024 (Full)'!$B$6:$AE$383,10,0)</f>
        <v>35000</v>
      </c>
      <c r="L64" s="68">
        <f t="shared" ref="L64:L65" si="154">K64*60%</f>
        <v>21000</v>
      </c>
      <c r="M64" s="68">
        <f t="shared" ref="M64:M65" si="155">K64*30%</f>
        <v>10500</v>
      </c>
      <c r="N64" s="68">
        <f t="shared" ref="N64:N65" si="156">K64*6%</f>
        <v>2100</v>
      </c>
      <c r="O64" s="68">
        <f t="shared" ref="O64:O65" si="157">K64*4%</f>
        <v>1400</v>
      </c>
      <c r="P64" s="259"/>
      <c r="Q64" s="260">
        <f t="shared" si="150"/>
        <v>35000</v>
      </c>
      <c r="R64" s="70">
        <f>VLOOKUP(B64,'Salary -Dec-2024 (Full)'!$B$6:$AE$383,17,0)</f>
        <v>35000</v>
      </c>
      <c r="S64" s="192">
        <f>VLOOKUP(B64,'Salary -Dec-2024 (Full)'!$B$6:$AE$383,18,0)</f>
        <v>0</v>
      </c>
      <c r="T64" s="192">
        <f>VLOOKUP(B64,'Salary -Dec-2024 (Full)'!$B$6:$AE$383,19,0)</f>
        <v>0</v>
      </c>
      <c r="U64" s="337">
        <f>VLOOKUP(B64,'Salary -Dec-2024 (Full)'!$B$6:$AE$383,20,0)</f>
        <v>0</v>
      </c>
      <c r="V64" s="263">
        <f t="shared" si="151"/>
        <v>35000</v>
      </c>
      <c r="W64" s="192">
        <f>VLOOKUP(B64,'Salary -Dec-2024 (Full)'!$B$6:$AE$383,22,0)</f>
        <v>0</v>
      </c>
      <c r="X64" s="192">
        <f>VLOOKUP(B64,'Salary -Dec-2024 (Full)'!$B$6:$AE$383,23,0)</f>
        <v>1875</v>
      </c>
      <c r="Y64" s="337">
        <f>VLOOKUP(B64,'Salary -Dec-2024 (Full)'!$B$6:$AE$383,24,0)</f>
        <v>1050</v>
      </c>
      <c r="Z64" s="192">
        <f>VLOOKUP(B64,'Salary -Dec-2024 (Full)'!$B$6:$AE$383,25,0)</f>
        <v>0</v>
      </c>
      <c r="AA64" s="192">
        <f>VLOOKUP(B64,'Salary -Dec-2024 (Full)'!$B$6:$AE$383,26,0)</f>
        <v>0</v>
      </c>
      <c r="AB64" s="73">
        <f t="shared" si="152"/>
        <v>2925</v>
      </c>
      <c r="AC64" s="73">
        <f t="shared" si="153"/>
        <v>32075</v>
      </c>
      <c r="AD64" s="74" t="str">
        <f>VLOOKUP(B64,'Salary -Dec-2024 (Full)'!$B$6:$AE$383,29,0)</f>
        <v>Bank</v>
      </c>
      <c r="AE64" s="618" t="str">
        <f>VLOOKUP(B64,'Salary -Dec-2024 (Full)'!$B$6:$AE$2853,30,0)</f>
        <v>103.103.1267253</v>
      </c>
      <c r="AF64" s="800"/>
      <c r="AG64" s="800"/>
      <c r="AJ64" s="183"/>
      <c r="AK64" s="320"/>
    </row>
    <row r="65" spans="1:37" s="47" customFormat="1" ht="24" customHeight="1">
      <c r="A65" s="62">
        <v>3</v>
      </c>
      <c r="B65" s="254" t="s">
        <v>543</v>
      </c>
      <c r="C65" s="255" t="str">
        <f>VLOOKUP(B65,'Salary -Dec-2024 (Full)'!$B$6:$D$383,2,0)</f>
        <v>Israt Jahan</v>
      </c>
      <c r="D65" s="278" t="str">
        <f>VLOOKUP(B65,'Salary -Dec-2024 (Full)'!$B$6:$D$383,3,0)</f>
        <v>Executive (S&amp;A)</v>
      </c>
      <c r="E65" s="256" t="str">
        <f>VLOOKUP(B65,'Salary -Dec-2024 (Full)'!$B$6:$AE$383,4,0)</f>
        <v>S&amp;M</v>
      </c>
      <c r="F65" s="265">
        <f>VLOOKUP(B65,'Salary -Dec-2024 (Full)'!$B$6:$AE$383,5,0)</f>
        <v>44958</v>
      </c>
      <c r="G65" s="257">
        <f>VLOOKUP(B65,'Salary -Dec-2024 (Full)'!$B$6:$AE$286,6,0)</f>
        <v>31</v>
      </c>
      <c r="H65" s="258">
        <f>VLOOKUP(B65,'Salary -Dec-2024 (Full)'!$B$6:$AE$383,7,0)</f>
        <v>0</v>
      </c>
      <c r="I65" s="66">
        <f t="shared" si="144"/>
        <v>31</v>
      </c>
      <c r="J65" s="67">
        <f t="shared" si="145"/>
        <v>645.16129032258061</v>
      </c>
      <c r="K65" s="68">
        <f>VLOOKUP(B65,'Salary -Dec-2024 (Full)'!$B$6:$AE$383,10,0)</f>
        <v>20000</v>
      </c>
      <c r="L65" s="68">
        <f t="shared" si="154"/>
        <v>12000</v>
      </c>
      <c r="M65" s="68">
        <f t="shared" si="155"/>
        <v>6000</v>
      </c>
      <c r="N65" s="68">
        <f t="shared" si="156"/>
        <v>1200</v>
      </c>
      <c r="O65" s="68">
        <f t="shared" si="157"/>
        <v>800</v>
      </c>
      <c r="P65" s="259"/>
      <c r="Q65" s="260">
        <f t="shared" si="150"/>
        <v>20000</v>
      </c>
      <c r="R65" s="70">
        <f>VLOOKUP(B65,'Salary -Dec-2024 (Full)'!$B$6:$AE$383,17,0)</f>
        <v>20000</v>
      </c>
      <c r="S65" s="192">
        <f>VLOOKUP(B65,'Salary -Dec-2024 (Full)'!$B$6:$AE$383,18,0)</f>
        <v>0</v>
      </c>
      <c r="T65" s="192">
        <f>VLOOKUP(B65,'Salary -Dec-2024 (Full)'!$B$6:$AE$383,19,0)</f>
        <v>0</v>
      </c>
      <c r="U65" s="337">
        <f>VLOOKUP(B65,'Salary -Dec-2024 (Full)'!$B$6:$AE$383,20,0)</f>
        <v>0</v>
      </c>
      <c r="V65" s="263">
        <f t="shared" si="151"/>
        <v>20000</v>
      </c>
      <c r="W65" s="192">
        <f>VLOOKUP(B65,'Salary -Dec-2024 (Full)'!$B$6:$AE$383,22,0)</f>
        <v>0</v>
      </c>
      <c r="X65" s="192">
        <f>VLOOKUP(B65,'Salary -Dec-2024 (Full)'!$B$6:$AE$383,23,0)</f>
        <v>0</v>
      </c>
      <c r="Y65" s="337">
        <f>VLOOKUP(B65,'Salary -Dec-2024 (Full)'!$B$6:$AE$383,24,0)</f>
        <v>600</v>
      </c>
      <c r="Z65" s="192">
        <f>VLOOKUP(B65,'Salary -Dec-2024 (Full)'!$B$6:$AE$383,25,0)</f>
        <v>0</v>
      </c>
      <c r="AA65" s="192">
        <f>VLOOKUP(B65,'Salary -Dec-2024 (Full)'!$B$6:$AE$383,26,0)</f>
        <v>0</v>
      </c>
      <c r="AB65" s="73">
        <f t="shared" ref="AB65" si="158">SUM(W65:AA65)</f>
        <v>600</v>
      </c>
      <c r="AC65" s="73">
        <f t="shared" ref="AC65" si="159">ROUND(V65-AB65,0)</f>
        <v>19400</v>
      </c>
      <c r="AD65" s="74" t="str">
        <f>VLOOKUP(B65,'Salary -Dec-2024 (Full)'!$B$6:$AE$383,29,0)</f>
        <v>Bank</v>
      </c>
      <c r="AE65" s="618" t="str">
        <f>VLOOKUP(B65,'Salary -Dec-2024 (Full)'!$B$6:$AE$2853,30,0)</f>
        <v>103.103.1343115</v>
      </c>
      <c r="AF65" s="800"/>
      <c r="AG65" s="800"/>
      <c r="AH65" s="61"/>
      <c r="AI65" s="61"/>
      <c r="AJ65" s="183"/>
      <c r="AK65" s="320"/>
    </row>
    <row r="66" spans="1:37" s="61" customFormat="1" ht="17.25" customHeight="1">
      <c r="A66" s="1031" t="s">
        <v>67</v>
      </c>
      <c r="B66" s="1032"/>
      <c r="C66" s="1033"/>
      <c r="D66" s="1034"/>
      <c r="E66" s="1040"/>
      <c r="F66" s="1040"/>
      <c r="G66" s="1040"/>
      <c r="H66" s="1040"/>
      <c r="I66" s="1040"/>
      <c r="J66" s="1040"/>
      <c r="K66" s="1037">
        <f>SUM(K63:K65)</f>
        <v>80000</v>
      </c>
      <c r="L66" s="1037">
        <f t="shared" ref="L66:AC66" si="160">SUM(L63:L65)</f>
        <v>48000</v>
      </c>
      <c r="M66" s="1037">
        <f t="shared" si="160"/>
        <v>24000</v>
      </c>
      <c r="N66" s="1037">
        <f t="shared" si="160"/>
        <v>4800</v>
      </c>
      <c r="O66" s="1037">
        <f t="shared" si="160"/>
        <v>3200</v>
      </c>
      <c r="P66" s="1037">
        <f t="shared" si="160"/>
        <v>0</v>
      </c>
      <c r="Q66" s="1037">
        <f t="shared" si="160"/>
        <v>80000</v>
      </c>
      <c r="R66" s="1037">
        <f t="shared" si="160"/>
        <v>80000</v>
      </c>
      <c r="S66" s="1037">
        <f t="shared" si="160"/>
        <v>0</v>
      </c>
      <c r="T66" s="1037">
        <f t="shared" si="160"/>
        <v>0</v>
      </c>
      <c r="U66" s="1037">
        <f t="shared" si="160"/>
        <v>0</v>
      </c>
      <c r="V66" s="1037">
        <f t="shared" si="160"/>
        <v>80000</v>
      </c>
      <c r="W66" s="1037">
        <f t="shared" si="160"/>
        <v>0</v>
      </c>
      <c r="X66" s="1037">
        <f t="shared" si="160"/>
        <v>1875</v>
      </c>
      <c r="Y66" s="1037">
        <f t="shared" si="160"/>
        <v>2400</v>
      </c>
      <c r="Z66" s="1037">
        <f t="shared" si="160"/>
        <v>0</v>
      </c>
      <c r="AA66" s="1037">
        <f t="shared" si="160"/>
        <v>0</v>
      </c>
      <c r="AB66" s="1037">
        <f t="shared" si="160"/>
        <v>4275</v>
      </c>
      <c r="AC66" s="1037">
        <f t="shared" si="160"/>
        <v>75725</v>
      </c>
      <c r="AD66" s="1037"/>
      <c r="AE66" s="1042"/>
      <c r="AF66" s="801"/>
      <c r="AG66" s="801"/>
      <c r="AJ66" s="183"/>
      <c r="AK66" s="320"/>
    </row>
    <row r="67" spans="1:37" s="47" customFormat="1" ht="21" customHeight="1">
      <c r="A67" s="116" t="s">
        <v>305</v>
      </c>
      <c r="B67" s="117"/>
      <c r="C67" s="117"/>
      <c r="D67" s="283"/>
      <c r="E67" s="117"/>
      <c r="F67" s="117"/>
      <c r="G67" s="117"/>
      <c r="H67" s="24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620"/>
      <c r="AF67" s="802"/>
      <c r="AG67" s="802"/>
      <c r="AH67" s="61"/>
      <c r="AI67" s="61"/>
      <c r="AJ67" s="183"/>
      <c r="AK67" s="320"/>
    </row>
    <row r="68" spans="1:37" s="61" customFormat="1" ht="23.25" customHeight="1">
      <c r="A68" s="48">
        <v>1</v>
      </c>
      <c r="B68" s="49" t="s">
        <v>306</v>
      </c>
      <c r="C68" s="255" t="str">
        <f>VLOOKUP(B68,'Salary -Dec-2024 (Full)'!$B$6:$D$383,2,0)</f>
        <v>Mst. Ramzan Ali</v>
      </c>
      <c r="D68" s="278" t="str">
        <f>VLOOKUP(B68,'Salary -Dec-2024 (Full)'!$B$6:$D$383,3,0)</f>
        <v>Driver</v>
      </c>
      <c r="E68" s="256" t="str">
        <f>VLOOKUP(B68,'Salary -Dec-2024 (Full)'!$B$6:$AE$383,4,0)</f>
        <v>Transport</v>
      </c>
      <c r="F68" s="265">
        <f>VLOOKUP(B68,'Salary -Dec-2024 (Full)'!$B$6:$AE$383,5,0)</f>
        <v>44571</v>
      </c>
      <c r="G68" s="257">
        <f>VLOOKUP(B68,'Salary -Dec-2024 (Full)'!$B$6:$AE$286,6,0)</f>
        <v>31</v>
      </c>
      <c r="H68" s="258">
        <f>VLOOKUP(B68,'Salary -Dec-2024 (Full)'!$B$6:$AE$383,7,0)</f>
        <v>0</v>
      </c>
      <c r="I68" s="66">
        <f t="shared" ref="I68:I69" si="161">G68-H68</f>
        <v>31</v>
      </c>
      <c r="J68" s="67">
        <f t="shared" ref="J68:J69" si="162">Q68/G68</f>
        <v>709.67741935483866</v>
      </c>
      <c r="K68" s="68">
        <f>VLOOKUP(B68,'Salary -Dec-2024 (Full)'!$B$6:$AE$383,10,0)</f>
        <v>22000</v>
      </c>
      <c r="L68" s="68">
        <f t="shared" ref="L68:L69" si="163">K68*60%</f>
        <v>13200</v>
      </c>
      <c r="M68" s="68">
        <f t="shared" ref="M68:M69" si="164">K68*30%</f>
        <v>6600</v>
      </c>
      <c r="N68" s="68">
        <f t="shared" ref="N68:N69" si="165">K68*6%</f>
        <v>1320</v>
      </c>
      <c r="O68" s="68">
        <f t="shared" ref="O68:O69" si="166">K68*4%</f>
        <v>880</v>
      </c>
      <c r="P68" s="259"/>
      <c r="Q68" s="260">
        <f t="shared" ref="Q68:Q69" si="167">SUM(L68:P68)</f>
        <v>22000</v>
      </c>
      <c r="R68" s="70">
        <f>VLOOKUP(B68,'Salary -Dec-2024 (Full)'!$B$6:$AE$383,17,0)</f>
        <v>22000</v>
      </c>
      <c r="S68" s="192">
        <f>VLOOKUP(B68,'Salary -Dec-2024 (Full)'!$B$6:$AE$383,18,0)</f>
        <v>0</v>
      </c>
      <c r="T68" s="192">
        <f>VLOOKUP(B68,'Salary -Dec-2024 (Full)'!$B$6:$AE$383,19,0)</f>
        <v>0</v>
      </c>
      <c r="U68" s="337">
        <f>VLOOKUP(B68,'Salary -Dec-2024 (Full)'!$B$6:$AE$383,20,0)</f>
        <v>0</v>
      </c>
      <c r="V68" s="263">
        <f t="shared" ref="V68:V69" si="168">SUM(R68:U68)</f>
        <v>22000</v>
      </c>
      <c r="W68" s="192">
        <f>VLOOKUP(B68,'Salary -Dec-2024 (Full)'!$B$6:$AE$383,22,0)</f>
        <v>0</v>
      </c>
      <c r="X68" s="192">
        <f>VLOOKUP(B68,'Salary -Dec-2024 (Full)'!$B$6:$AE$383,23,0)</f>
        <v>0</v>
      </c>
      <c r="Y68" s="337">
        <f>VLOOKUP(B68,'Salary -Dec-2024 (Full)'!$B$6:$AE$383,24,0)</f>
        <v>660</v>
      </c>
      <c r="Z68" s="192">
        <f>VLOOKUP(B68,'Salary -Dec-2024 (Full)'!$B$6:$AE$383,25,0)</f>
        <v>0</v>
      </c>
      <c r="AA68" s="192">
        <f>VLOOKUP(B68,'Salary -Dec-2024 (Full)'!$B$6:$AE$383,26,0)</f>
        <v>0</v>
      </c>
      <c r="AB68" s="73">
        <f t="shared" ref="AB68:AB69" si="169">SUM(W68:AA68)</f>
        <v>660</v>
      </c>
      <c r="AC68" s="73">
        <f t="shared" ref="AC68:AC69" si="170">ROUND(V68-AB68,0)</f>
        <v>21340</v>
      </c>
      <c r="AD68" s="74" t="str">
        <f>VLOOKUP(B68,'Salary -Dec-2024 (Full)'!$B$6:$AE$383,29,0)</f>
        <v>Bank</v>
      </c>
      <c r="AE68" s="618" t="str">
        <f>VLOOKUP(B68,'Salary -Dec-2024 (Full)'!$B$6:$AE$2853,30,0)</f>
        <v>103.103.1387811</v>
      </c>
      <c r="AF68" s="800"/>
      <c r="AG68" s="800"/>
      <c r="AJ68" s="183"/>
      <c r="AK68" s="320"/>
    </row>
    <row r="69" spans="1:37" s="61" customFormat="1" ht="23.25" customHeight="1">
      <c r="A69" s="62">
        <v>2</v>
      </c>
      <c r="B69" s="63" t="s">
        <v>310</v>
      </c>
      <c r="C69" s="255" t="str">
        <f>VLOOKUP(B69,'Salary -Dec-2024 (Full)'!$B$6:$D$383,2,0)</f>
        <v>Md. Shohag</v>
      </c>
      <c r="D69" s="278" t="str">
        <f>VLOOKUP(B69,'Salary -Dec-2024 (Full)'!$B$6:$D$383,3,0)</f>
        <v>Driver</v>
      </c>
      <c r="E69" s="256" t="str">
        <f>VLOOKUP(B69,'Salary -Dec-2024 (Full)'!$B$6:$AE$383,4,0)</f>
        <v>Tranport</v>
      </c>
      <c r="F69" s="265">
        <f>VLOOKUP(B69,'Salary -Dec-2024 (Full)'!$B$6:$AE$383,5,0)</f>
        <v>44782</v>
      </c>
      <c r="G69" s="257">
        <f>VLOOKUP(B69,'Salary -Dec-2024 (Full)'!$B$6:$AE$286,6,0)</f>
        <v>31</v>
      </c>
      <c r="H69" s="258">
        <f>VLOOKUP(B69,'Salary -Dec-2024 (Full)'!$B$6:$AE$383,7,0)</f>
        <v>0</v>
      </c>
      <c r="I69" s="66">
        <f t="shared" si="161"/>
        <v>31</v>
      </c>
      <c r="J69" s="67">
        <f t="shared" si="162"/>
        <v>709.67741935483866</v>
      </c>
      <c r="K69" s="68">
        <f>VLOOKUP(B69,'Salary -Dec-2024 (Full)'!$B$6:$AE$383,10,0)</f>
        <v>22000</v>
      </c>
      <c r="L69" s="68">
        <f t="shared" si="163"/>
        <v>13200</v>
      </c>
      <c r="M69" s="68">
        <f t="shared" si="164"/>
        <v>6600</v>
      </c>
      <c r="N69" s="68">
        <f t="shared" si="165"/>
        <v>1320</v>
      </c>
      <c r="O69" s="68">
        <f t="shared" si="166"/>
        <v>880</v>
      </c>
      <c r="P69" s="259"/>
      <c r="Q69" s="260">
        <f t="shared" si="167"/>
        <v>22000</v>
      </c>
      <c r="R69" s="70">
        <f>VLOOKUP(B69,'Salary -Dec-2024 (Full)'!$B$6:$AE$383,17,0)</f>
        <v>22000</v>
      </c>
      <c r="S69" s="192">
        <f>VLOOKUP(B69,'Salary -Dec-2024 (Full)'!$B$6:$AE$383,18,0)</f>
        <v>0</v>
      </c>
      <c r="T69" s="192">
        <f>VLOOKUP(B69,'Salary -Dec-2024 (Full)'!$B$6:$AE$383,19,0)</f>
        <v>0</v>
      </c>
      <c r="U69" s="337">
        <f>VLOOKUP(B69,'Salary -Dec-2024 (Full)'!$B$6:$AE$383,20,0)</f>
        <v>0</v>
      </c>
      <c r="V69" s="263">
        <f t="shared" si="168"/>
        <v>22000</v>
      </c>
      <c r="W69" s="192">
        <f>VLOOKUP(B69,'Salary -Dec-2024 (Full)'!$B$6:$AE$383,22,0)</f>
        <v>0</v>
      </c>
      <c r="X69" s="192">
        <f>VLOOKUP(B69,'Salary -Dec-2024 (Full)'!$B$6:$AE$383,23,0)</f>
        <v>0</v>
      </c>
      <c r="Y69" s="337">
        <f>VLOOKUP(B69,'Salary -Dec-2024 (Full)'!$B$6:$AE$383,24,0)</f>
        <v>660</v>
      </c>
      <c r="Z69" s="192">
        <f>VLOOKUP(B69,'Salary -Dec-2024 (Full)'!$B$6:$AE$383,25,0)</f>
        <v>0</v>
      </c>
      <c r="AA69" s="192">
        <f>VLOOKUP(B69,'Salary -Dec-2024 (Full)'!$B$6:$AE$383,26,0)</f>
        <v>5000</v>
      </c>
      <c r="AB69" s="73">
        <f t="shared" si="169"/>
        <v>5660</v>
      </c>
      <c r="AC69" s="73">
        <f t="shared" si="170"/>
        <v>16340</v>
      </c>
      <c r="AD69" s="74" t="str">
        <f>VLOOKUP(B69,'Salary -Dec-2024 (Full)'!$B$6:$AE$383,29,0)</f>
        <v>Bank</v>
      </c>
      <c r="AE69" s="618" t="str">
        <f>VLOOKUP(B69,'Salary -Dec-2024 (Full)'!$B$6:$AE$2853,30,0)</f>
        <v>103.103.1311756</v>
      </c>
      <c r="AF69" s="800"/>
      <c r="AG69" s="800"/>
      <c r="AJ69" s="183"/>
      <c r="AK69" s="320"/>
    </row>
    <row r="70" spans="1:37" s="61" customFormat="1" ht="23.25" customHeight="1">
      <c r="A70" s="62">
        <v>3</v>
      </c>
      <c r="B70" s="63" t="s">
        <v>135</v>
      </c>
      <c r="C70" s="255" t="str">
        <f>VLOOKUP(B70,'Salary -Dec-2024 (Full)'!$B$6:$D$383,2,0)</f>
        <v>Md. Jahidul Islam</v>
      </c>
      <c r="D70" s="278" t="str">
        <f>VLOOKUP(B70,'Salary -Dec-2024 (Full)'!$B$6:$D$383,3,0)</f>
        <v>Driver</v>
      </c>
      <c r="E70" s="256" t="str">
        <f>VLOOKUP(B70,'Salary -Dec-2024 (Full)'!$B$6:$AE$383,4,0)</f>
        <v>Transport</v>
      </c>
      <c r="F70" s="265">
        <f>VLOOKUP(B70,'Salary -Dec-2024 (Full)'!$B$6:$AE$383,5,0)</f>
        <v>44667</v>
      </c>
      <c r="G70" s="257">
        <f>VLOOKUP(B70,'Salary -Dec-2024 (Full)'!$B$6:$AE$286,6,0)</f>
        <v>31</v>
      </c>
      <c r="H70" s="258">
        <f>VLOOKUP(B70,'Salary -Dec-2024 (Full)'!$B$6:$AE$383,7,0)</f>
        <v>0</v>
      </c>
      <c r="I70" s="66">
        <f>G70-H70</f>
        <v>31</v>
      </c>
      <c r="J70" s="67">
        <f>Q70/G70</f>
        <v>709.67741935483866</v>
      </c>
      <c r="K70" s="68">
        <f>VLOOKUP(B70,'Salary -Dec-2024 (Full)'!$B$6:$AE$383,10,0)</f>
        <v>22000</v>
      </c>
      <c r="L70" s="68">
        <f>K70*60%</f>
        <v>13200</v>
      </c>
      <c r="M70" s="68">
        <f>K70*30%</f>
        <v>6600</v>
      </c>
      <c r="N70" s="68">
        <f>K70*6%</f>
        <v>1320</v>
      </c>
      <c r="O70" s="68">
        <f>K70*4%</f>
        <v>880</v>
      </c>
      <c r="P70" s="69"/>
      <c r="Q70" s="70">
        <f>SUM(L70:P70)</f>
        <v>22000</v>
      </c>
      <c r="R70" s="70">
        <f>VLOOKUP(B70,'Salary -Dec-2024 (Full)'!$B$6:$AE$383,17,0)</f>
        <v>22000</v>
      </c>
      <c r="S70" s="192">
        <f>VLOOKUP(B70,'Salary -Dec-2024 (Full)'!$B$6:$AE$383,18,0)</f>
        <v>0</v>
      </c>
      <c r="T70" s="192">
        <f>VLOOKUP(B70,'Salary -Dec-2024 (Full)'!$B$6:$AE$383,19,0)</f>
        <v>0</v>
      </c>
      <c r="U70" s="337">
        <f>VLOOKUP(B70,'Salary -Dec-2024 (Full)'!$B$6:$AE$383,20,0)</f>
        <v>0</v>
      </c>
      <c r="V70" s="71">
        <f>SUM(R70:U70)</f>
        <v>22000</v>
      </c>
      <c r="W70" s="192">
        <f>VLOOKUP(B70,'Salary -Dec-2024 (Full)'!$B$6:$AE$383,22,0)</f>
        <v>0</v>
      </c>
      <c r="X70" s="192">
        <f>VLOOKUP(B70,'Salary -Dec-2024 (Full)'!$B$6:$AE$383,23,0)</f>
        <v>0</v>
      </c>
      <c r="Y70" s="337">
        <f>VLOOKUP(B70,'Salary -Dec-2024 (Full)'!$B$6:$AE$383,24,0)</f>
        <v>660</v>
      </c>
      <c r="Z70" s="192">
        <f>VLOOKUP(B70,'Salary -Dec-2024 (Full)'!$B$6:$AE$383,25,0)</f>
        <v>0</v>
      </c>
      <c r="AA70" s="192">
        <f>VLOOKUP(B70,'Salary -Dec-2024 (Full)'!$B$6:$AE$383,26,0)</f>
        <v>0</v>
      </c>
      <c r="AB70" s="73">
        <f t="shared" ref="AB70:AB73" si="171">SUM(W70:AA70)</f>
        <v>660</v>
      </c>
      <c r="AC70" s="73">
        <f t="shared" ref="AC70:AC73" si="172">ROUND(V70-AB70,0)</f>
        <v>21340</v>
      </c>
      <c r="AD70" s="74" t="str">
        <f>VLOOKUP(B70,'Salary -Dec-2024 (Full)'!$B$6:$AE$383,29,0)</f>
        <v>Bank</v>
      </c>
      <c r="AE70" s="618" t="str">
        <f>VLOOKUP(B70,'Salary -Dec-2024 (Full)'!$B$6:$AE$2853,30,0)</f>
        <v>318.103.0001945</v>
      </c>
      <c r="AF70" s="800"/>
      <c r="AG70" s="800"/>
      <c r="AJ70" s="183"/>
      <c r="AK70" s="320"/>
    </row>
    <row r="71" spans="1:37" s="61" customFormat="1" ht="23.25" customHeight="1">
      <c r="A71" s="62">
        <v>4</v>
      </c>
      <c r="B71" s="63" t="s">
        <v>139</v>
      </c>
      <c r="C71" s="255" t="str">
        <f>VLOOKUP(B71,'Salary -Dec-2024 (Full)'!$B$6:$D$383,2,0)</f>
        <v>Md. Hafizur Rahman</v>
      </c>
      <c r="D71" s="278" t="str">
        <f>VLOOKUP(B71,'Salary -Dec-2024 (Full)'!$B$6:$D$383,3,0)</f>
        <v>Driver</v>
      </c>
      <c r="E71" s="256" t="str">
        <f>VLOOKUP(B71,'Salary -Dec-2024 (Full)'!$B$6:$AE$383,4,0)</f>
        <v>Transport</v>
      </c>
      <c r="F71" s="265">
        <f>VLOOKUP(B71,'Salary -Dec-2024 (Full)'!$B$6:$AE$383,5,0)</f>
        <v>44663</v>
      </c>
      <c r="G71" s="257">
        <f>VLOOKUP(B71,'Salary -Dec-2024 (Full)'!$B$6:$AE$286,6,0)</f>
        <v>31</v>
      </c>
      <c r="H71" s="258">
        <f>VLOOKUP(B71,'Salary -Dec-2024 (Full)'!$B$6:$AE$383,7,0)</f>
        <v>0</v>
      </c>
      <c r="I71" s="66">
        <f>G71-H71</f>
        <v>31</v>
      </c>
      <c r="J71" s="67">
        <f>Q71/G71</f>
        <v>709.67741935483866</v>
      </c>
      <c r="K71" s="68">
        <f>VLOOKUP(B71,'Salary -Dec-2024 (Full)'!$B$6:$AE$383,10,0)</f>
        <v>22000</v>
      </c>
      <c r="L71" s="68">
        <f>K71*60%</f>
        <v>13200</v>
      </c>
      <c r="M71" s="68">
        <f>K71*30%</f>
        <v>6600</v>
      </c>
      <c r="N71" s="68">
        <f>K71*6%</f>
        <v>1320</v>
      </c>
      <c r="O71" s="68">
        <f>K71*4%</f>
        <v>880</v>
      </c>
      <c r="P71" s="69"/>
      <c r="Q71" s="70">
        <f>SUM(L71:P71)</f>
        <v>22000</v>
      </c>
      <c r="R71" s="70">
        <f>VLOOKUP(B71,'Salary -Dec-2024 (Full)'!$B$6:$AE$383,17,0)</f>
        <v>22000</v>
      </c>
      <c r="S71" s="192">
        <f>VLOOKUP(B71,'Salary -Dec-2024 (Full)'!$B$6:$AE$383,18,0)</f>
        <v>0</v>
      </c>
      <c r="T71" s="192">
        <f>VLOOKUP(B71,'Salary -Dec-2024 (Full)'!$B$6:$AE$383,19,0)</f>
        <v>0</v>
      </c>
      <c r="U71" s="337">
        <f>VLOOKUP(B71,'Salary -Dec-2024 (Full)'!$B$6:$AE$383,20,0)</f>
        <v>0</v>
      </c>
      <c r="V71" s="71">
        <f>SUM(R71:U71)</f>
        <v>22000</v>
      </c>
      <c r="W71" s="192">
        <f>VLOOKUP(B71,'Salary -Dec-2024 (Full)'!$B$6:$AE$383,22,0)</f>
        <v>0</v>
      </c>
      <c r="X71" s="192">
        <f>VLOOKUP(B71,'Salary -Dec-2024 (Full)'!$B$6:$AE$383,23,0)</f>
        <v>0</v>
      </c>
      <c r="Y71" s="337">
        <f>VLOOKUP(B71,'Salary -Dec-2024 (Full)'!$B$6:$AE$383,24,0)</f>
        <v>660</v>
      </c>
      <c r="Z71" s="192">
        <f>VLOOKUP(B71,'Salary -Dec-2024 (Full)'!$B$6:$AE$383,25,0)</f>
        <v>0</v>
      </c>
      <c r="AA71" s="192">
        <f>VLOOKUP(B71,'Salary -Dec-2024 (Full)'!$B$6:$AE$383,26,0)</f>
        <v>0</v>
      </c>
      <c r="AB71" s="73">
        <f t="shared" si="171"/>
        <v>660</v>
      </c>
      <c r="AC71" s="73">
        <f t="shared" si="172"/>
        <v>21340</v>
      </c>
      <c r="AD71" s="74" t="str">
        <f>VLOOKUP(B71,'Salary -Dec-2024 (Full)'!$B$6:$AE$383,29,0)</f>
        <v>Bank</v>
      </c>
      <c r="AE71" s="618" t="str">
        <f>VLOOKUP(B71,'Salary -Dec-2024 (Full)'!$B$6:$AE$2853,30,0)</f>
        <v>227.157.0038826</v>
      </c>
      <c r="AF71" s="800"/>
      <c r="AG71" s="800"/>
      <c r="AJ71" s="183"/>
      <c r="AK71" s="320"/>
    </row>
    <row r="72" spans="1:37" s="61" customFormat="1" ht="23.25" customHeight="1">
      <c r="A72" s="62">
        <v>5</v>
      </c>
      <c r="B72" s="63" t="s">
        <v>922</v>
      </c>
      <c r="C72" s="255" t="str">
        <f>VLOOKUP(B72,'Salary -Dec-2024 (Full)'!$B$6:$D$383,2,0)</f>
        <v>Md Sayful Alam</v>
      </c>
      <c r="D72" s="278" t="str">
        <f>VLOOKUP(B72,'Salary -Dec-2024 (Full)'!$B$6:$D$383,3,0)</f>
        <v>Lowbed Driver</v>
      </c>
      <c r="E72" s="256" t="str">
        <f>VLOOKUP(B72,'Salary -Dec-2024 (Full)'!$B$6:$AE$383,4,0)</f>
        <v>Transport</v>
      </c>
      <c r="F72" s="265">
        <f>VLOOKUP(B72,'Salary -Dec-2024 (Full)'!$B$6:$AE$383,5,0)</f>
        <v>45193</v>
      </c>
      <c r="G72" s="257">
        <f>VLOOKUP(B72,'Salary -Dec-2024 (Full)'!$B$6:$AE$286,6,0)</f>
        <v>31</v>
      </c>
      <c r="H72" s="258">
        <f>VLOOKUP(B72,'Salary -Dec-2024 (Full)'!$B$6:$AE$383,7,0)</f>
        <v>0</v>
      </c>
      <c r="I72" s="257">
        <f t="shared" ref="I72" si="173">G72-H72</f>
        <v>31</v>
      </c>
      <c r="J72" s="258">
        <f t="shared" ref="J72" si="174">Q72/G72</f>
        <v>677.41935483870964</v>
      </c>
      <c r="K72" s="72">
        <f>VLOOKUP(B72,'Salary -Dec-2024 (Full)'!$B$6:$AE$383,10,0)</f>
        <v>21000</v>
      </c>
      <c r="L72" s="72">
        <f t="shared" ref="L72" si="175">K72*60%</f>
        <v>12600</v>
      </c>
      <c r="M72" s="72">
        <f t="shared" ref="M72" si="176">K72*30%</f>
        <v>6300</v>
      </c>
      <c r="N72" s="72">
        <f t="shared" ref="N72" si="177">K72*6%</f>
        <v>1260</v>
      </c>
      <c r="O72" s="72">
        <f t="shared" ref="O72" si="178">K72*4%</f>
        <v>840</v>
      </c>
      <c r="P72" s="259"/>
      <c r="Q72" s="260">
        <f t="shared" ref="Q72" si="179">SUM(L72:P72)</f>
        <v>21000</v>
      </c>
      <c r="R72" s="70">
        <f>VLOOKUP(B72,'Salary -Dec-2024 (Full)'!$B$6:$AE$383,17,0)</f>
        <v>21000</v>
      </c>
      <c r="S72" s="192">
        <f>VLOOKUP(B72,'Salary -Dec-2024 (Full)'!$B$6:$AE$383,18,0)</f>
        <v>0</v>
      </c>
      <c r="T72" s="192">
        <f>VLOOKUP(B72,'Salary -Dec-2024 (Full)'!$B$6:$AE$383,19,0)</f>
        <v>0</v>
      </c>
      <c r="U72" s="337">
        <f>VLOOKUP(B72,'Salary -Dec-2024 (Full)'!$B$6:$AE$383,20,0)</f>
        <v>0</v>
      </c>
      <c r="V72" s="263">
        <f t="shared" ref="V72" si="180">SUM(R72:U72)</f>
        <v>21000</v>
      </c>
      <c r="W72" s="192">
        <f>VLOOKUP(B72,'Salary -Dec-2024 (Full)'!$B$6:$AE$383,22,0)</f>
        <v>0</v>
      </c>
      <c r="X72" s="192">
        <f>VLOOKUP(B72,'Salary -Dec-2024 (Full)'!$B$6:$AE$383,23,0)</f>
        <v>0</v>
      </c>
      <c r="Y72" s="337">
        <f>VLOOKUP(B72,'Salary -Dec-2024 (Full)'!$B$6:$AE$383,24,0)</f>
        <v>630</v>
      </c>
      <c r="Z72" s="192">
        <f>VLOOKUP(B72,'Salary -Dec-2024 (Full)'!$B$6:$AE$383,25,0)</f>
        <v>0</v>
      </c>
      <c r="AA72" s="192">
        <f>VLOOKUP(B72,'Salary -Dec-2024 (Full)'!$B$6:$AE$383,26,0)</f>
        <v>0</v>
      </c>
      <c r="AB72" s="73">
        <f t="shared" si="171"/>
        <v>630</v>
      </c>
      <c r="AC72" s="73">
        <f t="shared" si="172"/>
        <v>20370</v>
      </c>
      <c r="AD72" s="74" t="str">
        <f>VLOOKUP(B72,'Salary -Dec-2024 (Full)'!$B$6:$AE$383,29,0)</f>
        <v>Bank</v>
      </c>
      <c r="AE72" s="618" t="str">
        <f>VLOOKUP(B72,'Salary -Dec-2024 (Full)'!$B$6:$AE$2853,30,0)</f>
        <v>127.158.0137621</v>
      </c>
      <c r="AF72" s="800"/>
      <c r="AG72" s="800"/>
      <c r="AJ72" s="183"/>
      <c r="AK72" s="320"/>
    </row>
    <row r="73" spans="1:37" s="61" customFormat="1" ht="23.25" customHeight="1">
      <c r="A73" s="62">
        <v>6</v>
      </c>
      <c r="B73" s="63" t="s">
        <v>1207</v>
      </c>
      <c r="C73" s="255" t="str">
        <f>VLOOKUP(B73,'Salary -Dec-2024 (Full)'!$B$6:$D$383,2,0)</f>
        <v>Md Aibul Ali</v>
      </c>
      <c r="D73" s="278" t="str">
        <f>VLOOKUP(B73,'Salary -Dec-2024 (Full)'!$B$6:$D$383,3,0)</f>
        <v>Lowbed Driver</v>
      </c>
      <c r="E73" s="256" t="str">
        <f>VLOOKUP(B73,'Salary -Dec-2024 (Full)'!$B$6:$AE$383,4,0)</f>
        <v>Transport</v>
      </c>
      <c r="F73" s="265">
        <f>VLOOKUP(B73,'Salary -Dec-2024 (Full)'!$B$6:$AE$383,5,0)</f>
        <v>45356</v>
      </c>
      <c r="G73" s="257">
        <f>VLOOKUP(B73,'Salary -Dec-2024 (Full)'!$B$6:$AE$286,6,0)</f>
        <v>31</v>
      </c>
      <c r="H73" s="258">
        <f>VLOOKUP(B73,'Salary -Dec-2024 (Full)'!$B$6:$AE$383,7,0)</f>
        <v>0</v>
      </c>
      <c r="I73" s="257">
        <f t="shared" ref="I73" si="181">G73-H73</f>
        <v>31</v>
      </c>
      <c r="J73" s="258">
        <f t="shared" ref="J73" si="182">Q73/G73</f>
        <v>645.16129032258061</v>
      </c>
      <c r="K73" s="72">
        <f>VLOOKUP(B73,'Salary -Dec-2024 (Full)'!$B$6:$AE$383,10,0)</f>
        <v>20000</v>
      </c>
      <c r="L73" s="72">
        <f t="shared" ref="L73" si="183">K73*60%</f>
        <v>12000</v>
      </c>
      <c r="M73" s="72">
        <f t="shared" ref="M73" si="184">K73*30%</f>
        <v>6000</v>
      </c>
      <c r="N73" s="72">
        <f t="shared" ref="N73" si="185">K73*6%</f>
        <v>1200</v>
      </c>
      <c r="O73" s="72">
        <f t="shared" ref="O73" si="186">K73*4%</f>
        <v>800</v>
      </c>
      <c r="P73" s="259"/>
      <c r="Q73" s="260">
        <f t="shared" ref="Q73" si="187">SUM(L73:P73)</f>
        <v>20000</v>
      </c>
      <c r="R73" s="70">
        <f>VLOOKUP(B73,'Salary -Dec-2024 (Full)'!$B$6:$AE$383,17,0)</f>
        <v>20000</v>
      </c>
      <c r="S73" s="192">
        <f>VLOOKUP(B73,'Salary -Dec-2024 (Full)'!$B$6:$AE$383,18,0)</f>
        <v>0</v>
      </c>
      <c r="T73" s="192">
        <f>VLOOKUP(B73,'Salary -Dec-2024 (Full)'!$B$6:$AE$383,19,0)</f>
        <v>0</v>
      </c>
      <c r="U73" s="337">
        <f>VLOOKUP(B73,'Salary -Dec-2024 (Full)'!$B$6:$AE$383,20,0)</f>
        <v>0</v>
      </c>
      <c r="V73" s="263">
        <f t="shared" ref="V73" si="188">SUM(R73:U73)</f>
        <v>20000</v>
      </c>
      <c r="W73" s="192">
        <f>VLOOKUP(B73,'Salary -Dec-2024 (Full)'!$B$6:$AE$383,22,0)</f>
        <v>0</v>
      </c>
      <c r="X73" s="192">
        <f>VLOOKUP(B73,'Salary -Dec-2024 (Full)'!$B$6:$AE$383,23,0)</f>
        <v>0</v>
      </c>
      <c r="Y73" s="337">
        <f>VLOOKUP(B73,'Salary -Dec-2024 (Full)'!$B$6:$AE$383,24,0)</f>
        <v>0</v>
      </c>
      <c r="Z73" s="192">
        <f>VLOOKUP(B73,'Salary -Dec-2024 (Full)'!$B$6:$AE$383,25,0)</f>
        <v>0</v>
      </c>
      <c r="AA73" s="192">
        <f>VLOOKUP(B73,'Salary -Dec-2024 (Full)'!$B$6:$AE$383,26,0)</f>
        <v>0</v>
      </c>
      <c r="AB73" s="73">
        <f t="shared" si="171"/>
        <v>0</v>
      </c>
      <c r="AC73" s="73">
        <f t="shared" si="172"/>
        <v>20000</v>
      </c>
      <c r="AD73" s="74" t="str">
        <f>VLOOKUP(B73,'Salary -Dec-2024 (Full)'!$B$6:$AE$383,29,0)</f>
        <v>Bank</v>
      </c>
      <c r="AE73" s="618" t="str">
        <f>VLOOKUP(B73,'Salary -Dec-2024 (Full)'!$B$6:$AE$2853,30,0)</f>
        <v>103.103.1421085</v>
      </c>
      <c r="AF73" s="800"/>
      <c r="AG73" s="800"/>
      <c r="AJ73" s="183"/>
      <c r="AK73" s="320"/>
    </row>
    <row r="74" spans="1:37" s="61" customFormat="1" ht="19.5" customHeight="1">
      <c r="A74" s="1031" t="s">
        <v>67</v>
      </c>
      <c r="B74" s="1032"/>
      <c r="C74" s="1033"/>
      <c r="D74" s="1034"/>
      <c r="E74" s="1040"/>
      <c r="F74" s="1040"/>
      <c r="G74" s="1040"/>
      <c r="H74" s="1040"/>
      <c r="I74" s="1040"/>
      <c r="J74" s="1040"/>
      <c r="K74" s="1037">
        <f t="shared" ref="K74:AC74" si="189">SUM(K68:K73)</f>
        <v>129000</v>
      </c>
      <c r="L74" s="1037">
        <f t="shared" si="189"/>
        <v>77400</v>
      </c>
      <c r="M74" s="1037">
        <f t="shared" si="189"/>
        <v>38700</v>
      </c>
      <c r="N74" s="1037">
        <f t="shared" si="189"/>
        <v>7740</v>
      </c>
      <c r="O74" s="1037">
        <f t="shared" si="189"/>
        <v>5160</v>
      </c>
      <c r="P74" s="1037">
        <f t="shared" si="189"/>
        <v>0</v>
      </c>
      <c r="Q74" s="1037">
        <f t="shared" si="189"/>
        <v>129000</v>
      </c>
      <c r="R74" s="1037">
        <f t="shared" si="189"/>
        <v>129000</v>
      </c>
      <c r="S74" s="1037">
        <f t="shared" si="189"/>
        <v>0</v>
      </c>
      <c r="T74" s="1037">
        <f t="shared" si="189"/>
        <v>0</v>
      </c>
      <c r="U74" s="1037">
        <f t="shared" si="189"/>
        <v>0</v>
      </c>
      <c r="V74" s="1037">
        <f t="shared" si="189"/>
        <v>129000</v>
      </c>
      <c r="W74" s="1037">
        <f t="shared" si="189"/>
        <v>0</v>
      </c>
      <c r="X74" s="1037">
        <f t="shared" si="189"/>
        <v>0</v>
      </c>
      <c r="Y74" s="1037">
        <f t="shared" si="189"/>
        <v>3270</v>
      </c>
      <c r="Z74" s="1037">
        <f t="shared" si="189"/>
        <v>0</v>
      </c>
      <c r="AA74" s="1037">
        <f t="shared" si="189"/>
        <v>5000</v>
      </c>
      <c r="AB74" s="1037">
        <f t="shared" si="189"/>
        <v>8270</v>
      </c>
      <c r="AC74" s="1037">
        <f t="shared" si="189"/>
        <v>120730</v>
      </c>
      <c r="AD74" s="1037"/>
      <c r="AE74" s="1042"/>
      <c r="AF74" s="801"/>
      <c r="AG74" s="801"/>
      <c r="AJ74" s="183"/>
      <c r="AK74" s="320"/>
    </row>
    <row r="75" spans="1:37" s="47" customFormat="1" ht="19.5" customHeight="1">
      <c r="A75" s="89" t="s">
        <v>319</v>
      </c>
      <c r="B75" s="268"/>
      <c r="C75" s="268"/>
      <c r="D75" s="348"/>
      <c r="E75" s="268"/>
      <c r="F75" s="268"/>
      <c r="G75" s="268"/>
      <c r="H75" s="267"/>
      <c r="I75" s="268"/>
      <c r="J75" s="268"/>
      <c r="K75" s="268"/>
      <c r="L75" s="268"/>
      <c r="M75" s="268"/>
      <c r="N75" s="268"/>
      <c r="O75" s="268"/>
      <c r="P75" s="268"/>
      <c r="Q75" s="268"/>
      <c r="R75" s="268"/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619"/>
      <c r="AF75" s="802"/>
      <c r="AG75" s="802"/>
      <c r="AH75" s="61"/>
      <c r="AI75" s="61"/>
      <c r="AJ75" s="183"/>
      <c r="AK75" s="320"/>
    </row>
    <row r="76" spans="1:37" s="61" customFormat="1" ht="22.5" customHeight="1">
      <c r="A76" s="48">
        <v>1</v>
      </c>
      <c r="B76" s="405" t="s">
        <v>320</v>
      </c>
      <c r="C76" s="341" t="str">
        <f>VLOOKUP(B76,'Salary -Dec-2024 (Full)'!$B$6:$D$383,2,0)</f>
        <v>Sujal Chandra Mahanta</v>
      </c>
      <c r="D76" s="342" t="str">
        <f>VLOOKUP(B76,'Salary -Dec-2024 (Full)'!$B$6:$D$383,3,0)</f>
        <v>Store Officer</v>
      </c>
      <c r="E76" s="343" t="str">
        <f>VLOOKUP(B76,'Salary -Dec-2024 (Full)'!$B$6:$AE$383,4,0)</f>
        <v>Store &amp; Logistics</v>
      </c>
      <c r="F76" s="266">
        <f>VLOOKUP(B76,'Salary -Dec-2024 (Full)'!$B$6:$AE$383,5,0)</f>
        <v>44674</v>
      </c>
      <c r="G76" s="257">
        <f>VLOOKUP(B76,'Salary -Dec-2024 (Full)'!$B$6:$AE$286,6,0)</f>
        <v>31</v>
      </c>
      <c r="H76" s="258">
        <f>VLOOKUP(B76,'Salary -Dec-2024 (Full)'!$B$6:$AE$383,7,0)</f>
        <v>0</v>
      </c>
      <c r="I76" s="66">
        <f t="shared" ref="I76:I78" si="190">G76-H76</f>
        <v>31</v>
      </c>
      <c r="J76" s="67">
        <f t="shared" ref="J76:J78" si="191">Q76/G76</f>
        <v>903.22580645161293</v>
      </c>
      <c r="K76" s="186">
        <f>VLOOKUP(B76,'Salary -Dec-2024 (Full)'!$B$6:$AE$383,10,0)</f>
        <v>28000</v>
      </c>
      <c r="L76" s="186">
        <f t="shared" ref="L76:L78" si="192">K76*60%</f>
        <v>16800</v>
      </c>
      <c r="M76" s="186">
        <f t="shared" ref="M76:M78" si="193">K76*30%</f>
        <v>8400</v>
      </c>
      <c r="N76" s="186">
        <f t="shared" ref="N76:N78" si="194">K76*6%</f>
        <v>1680</v>
      </c>
      <c r="O76" s="186">
        <f t="shared" ref="O76:O78" si="195">K76*4%</f>
        <v>1120</v>
      </c>
      <c r="P76" s="344"/>
      <c r="Q76" s="345">
        <f t="shared" ref="Q76:Q78" si="196">SUM(L76:P76)</f>
        <v>28000</v>
      </c>
      <c r="R76" s="70">
        <f>VLOOKUP(B76,'Salary -Dec-2024 (Full)'!$B$6:$AE$383,17,0)</f>
        <v>28000</v>
      </c>
      <c r="S76" s="192">
        <f>VLOOKUP(B76,'Salary -Dec-2024 (Full)'!$B$6:$AE$383,18,0)</f>
        <v>0</v>
      </c>
      <c r="T76" s="192">
        <f>VLOOKUP(B76,'Salary -Dec-2024 (Full)'!$B$6:$AE$383,19,0)</f>
        <v>0</v>
      </c>
      <c r="U76" s="337">
        <f>VLOOKUP(B76,'Salary -Dec-2024 (Full)'!$B$6:$AE$383,20,0)</f>
        <v>0</v>
      </c>
      <c r="V76" s="338">
        <f t="shared" ref="V76:V78" si="197">SUM(R76:U76)</f>
        <v>28000</v>
      </c>
      <c r="W76" s="192">
        <f>VLOOKUP(B76,'Salary -Dec-2024 (Full)'!$B$6:$AE$383,22,0)</f>
        <v>0</v>
      </c>
      <c r="X76" s="192">
        <f>VLOOKUP(B76,'Salary -Dec-2024 (Full)'!$B$6:$AE$383,23,0)</f>
        <v>0</v>
      </c>
      <c r="Y76" s="337">
        <f>VLOOKUP(B76,'Salary -Dec-2024 (Full)'!$B$6:$AE$383,24,0)</f>
        <v>840</v>
      </c>
      <c r="Z76" s="192">
        <f>VLOOKUP(B76,'Salary -Dec-2024 (Full)'!$B$6:$AE$383,25,0)</f>
        <v>0</v>
      </c>
      <c r="AA76" s="192">
        <f>VLOOKUP(B76,'Salary -Dec-2024 (Full)'!$B$6:$AE$383,26,0)</f>
        <v>0</v>
      </c>
      <c r="AB76" s="73">
        <f t="shared" ref="AB76:AB79" si="198">SUM(W76:AA76)</f>
        <v>840</v>
      </c>
      <c r="AC76" s="73">
        <f t="shared" ref="AC76:AC79" si="199">ROUND(V76-AB76,0)</f>
        <v>27160</v>
      </c>
      <c r="AD76" s="74" t="str">
        <f>VLOOKUP(B76,'Salary -Dec-2024 (Full)'!$B$6:$AE$383,29,0)</f>
        <v>Bank</v>
      </c>
      <c r="AE76" s="618" t="str">
        <f>VLOOKUP(B76,'Salary -Dec-2024 (Full)'!$B$6:$AE$2853,30,0)</f>
        <v>190.158.0008541</v>
      </c>
      <c r="AF76" s="800"/>
      <c r="AG76" s="800"/>
      <c r="AJ76" s="183"/>
      <c r="AK76" s="320"/>
    </row>
    <row r="77" spans="1:37" s="61" customFormat="1" ht="22.5" customHeight="1">
      <c r="A77" s="62">
        <v>2</v>
      </c>
      <c r="B77" s="63" t="s">
        <v>326</v>
      </c>
      <c r="C77" s="255" t="str">
        <f>VLOOKUP(B77,'Salary -Dec-2024 (Full)'!$B$6:$D$383,2,0)</f>
        <v>Md. Jamal Hossain</v>
      </c>
      <c r="D77" s="278" t="str">
        <f>VLOOKUP(B77,'Salary -Dec-2024 (Full)'!$B$6:$D$383,3,0)</f>
        <v>Store Officer</v>
      </c>
      <c r="E77" s="256" t="str">
        <f>VLOOKUP(B77,'Salary -Dec-2024 (Full)'!$B$6:$AE$383,4,0)</f>
        <v>Store &amp; Logistics</v>
      </c>
      <c r="F77" s="265">
        <f>VLOOKUP(B77,'Salary -Dec-2024 (Full)'!$B$6:$AE$383,5,0)</f>
        <v>44653</v>
      </c>
      <c r="G77" s="257">
        <f>VLOOKUP(B77,'Salary -Dec-2024 (Full)'!$B$6:$AE$286,6,0)</f>
        <v>31</v>
      </c>
      <c r="H77" s="258">
        <f>VLOOKUP(B77,'Salary -Dec-2024 (Full)'!$B$6:$AE$383,7,0)</f>
        <v>0</v>
      </c>
      <c r="I77" s="66">
        <f t="shared" si="190"/>
        <v>31</v>
      </c>
      <c r="J77" s="67">
        <f t="shared" si="191"/>
        <v>919.35483870967744</v>
      </c>
      <c r="K77" s="68">
        <f>VLOOKUP(B77,'Salary -Dec-2024 (Full)'!$B$6:$AE$383,10,0)</f>
        <v>28500</v>
      </c>
      <c r="L77" s="68">
        <f t="shared" si="192"/>
        <v>17100</v>
      </c>
      <c r="M77" s="68">
        <f t="shared" si="193"/>
        <v>8550</v>
      </c>
      <c r="N77" s="68">
        <f t="shared" si="194"/>
        <v>1710</v>
      </c>
      <c r="O77" s="68">
        <f t="shared" si="195"/>
        <v>1140</v>
      </c>
      <c r="P77" s="259"/>
      <c r="Q77" s="260">
        <f t="shared" si="196"/>
        <v>28500</v>
      </c>
      <c r="R77" s="70">
        <f>VLOOKUP(B77,'Salary -Dec-2024 (Full)'!$B$6:$AE$383,17,0)</f>
        <v>28500</v>
      </c>
      <c r="S77" s="192">
        <f>VLOOKUP(B77,'Salary -Dec-2024 (Full)'!$B$6:$AE$383,18,0)</f>
        <v>0</v>
      </c>
      <c r="T77" s="192">
        <f>VLOOKUP(B77,'Salary -Dec-2024 (Full)'!$B$6:$AE$383,19,0)</f>
        <v>0</v>
      </c>
      <c r="U77" s="337">
        <f>VLOOKUP(B77,'Salary -Dec-2024 (Full)'!$B$6:$AE$383,20,0)</f>
        <v>0</v>
      </c>
      <c r="V77" s="263">
        <f t="shared" si="197"/>
        <v>28500</v>
      </c>
      <c r="W77" s="192">
        <f>VLOOKUP(B77,'Salary -Dec-2024 (Full)'!$B$6:$AE$383,22,0)</f>
        <v>0</v>
      </c>
      <c r="X77" s="192">
        <f>VLOOKUP(B77,'Salary -Dec-2024 (Full)'!$B$6:$AE$383,23,0)</f>
        <v>0</v>
      </c>
      <c r="Y77" s="337">
        <f>VLOOKUP(B77,'Salary -Dec-2024 (Full)'!$B$6:$AE$383,24,0)</f>
        <v>855</v>
      </c>
      <c r="Z77" s="192">
        <f>VLOOKUP(B77,'Salary -Dec-2024 (Full)'!$B$6:$AE$383,25,0)</f>
        <v>0</v>
      </c>
      <c r="AA77" s="192">
        <f>VLOOKUP(B77,'Salary -Dec-2024 (Full)'!$B$6:$AE$383,26,0)</f>
        <v>0</v>
      </c>
      <c r="AB77" s="73">
        <f t="shared" si="198"/>
        <v>855</v>
      </c>
      <c r="AC77" s="73">
        <f t="shared" si="199"/>
        <v>27645</v>
      </c>
      <c r="AD77" s="74" t="str">
        <f>VLOOKUP(B77,'Salary -Dec-2024 (Full)'!$B$6:$AE$383,29,0)</f>
        <v>Bank</v>
      </c>
      <c r="AE77" s="618" t="str">
        <f>VLOOKUP(B77,'Salary -Dec-2024 (Full)'!$B$6:$AE$2853,30,0)</f>
        <v>311.158.0003466</v>
      </c>
      <c r="AF77" s="800"/>
      <c r="AG77" s="800"/>
      <c r="AJ77" s="183"/>
      <c r="AK77" s="320"/>
    </row>
    <row r="78" spans="1:37" s="61" customFormat="1" ht="22.5" customHeight="1">
      <c r="A78" s="62">
        <v>3</v>
      </c>
      <c r="B78" s="63" t="s">
        <v>335</v>
      </c>
      <c r="C78" s="255" t="str">
        <f>VLOOKUP(B78,'Salary -Dec-2024 (Full)'!$B$6:$D$383,2,0)</f>
        <v>Rajah Ch. Datta</v>
      </c>
      <c r="D78" s="278" t="str">
        <f>VLOOKUP(B78,'Salary -Dec-2024 (Full)'!$B$6:$D$383,3,0)</f>
        <v>Store Officer</v>
      </c>
      <c r="E78" s="256" t="str">
        <f>VLOOKUP(B78,'Salary -Dec-2024 (Full)'!$B$6:$AE$383,4,0)</f>
        <v>Store &amp; Logistics</v>
      </c>
      <c r="F78" s="265">
        <f>VLOOKUP(B78,'Salary -Dec-2024 (Full)'!$B$6:$AE$383,5,0)</f>
        <v>44634</v>
      </c>
      <c r="G78" s="257">
        <f>VLOOKUP(B78,'Salary -Dec-2024 (Full)'!$B$6:$AE$286,6,0)</f>
        <v>31</v>
      </c>
      <c r="H78" s="258">
        <f>VLOOKUP(B78,'Salary -Dec-2024 (Full)'!$B$6:$AE$383,7,0)</f>
        <v>0</v>
      </c>
      <c r="I78" s="66">
        <f t="shared" si="190"/>
        <v>31</v>
      </c>
      <c r="J78" s="67">
        <f t="shared" si="191"/>
        <v>870.9677419354839</v>
      </c>
      <c r="K78" s="68">
        <f>VLOOKUP(B78,'Salary -Dec-2024 (Full)'!$B$6:$AE$383,10,0)</f>
        <v>27000</v>
      </c>
      <c r="L78" s="68">
        <f t="shared" si="192"/>
        <v>16200</v>
      </c>
      <c r="M78" s="68">
        <f t="shared" si="193"/>
        <v>8100</v>
      </c>
      <c r="N78" s="68">
        <f t="shared" si="194"/>
        <v>1620</v>
      </c>
      <c r="O78" s="68">
        <f t="shared" si="195"/>
        <v>1080</v>
      </c>
      <c r="P78" s="259"/>
      <c r="Q78" s="260">
        <f t="shared" si="196"/>
        <v>27000</v>
      </c>
      <c r="R78" s="70">
        <f>VLOOKUP(B78,'Salary -Dec-2024 (Full)'!$B$6:$AE$383,17,0)</f>
        <v>27000</v>
      </c>
      <c r="S78" s="192">
        <f>VLOOKUP(B78,'Salary -Dec-2024 (Full)'!$B$6:$AE$383,18,0)</f>
        <v>0</v>
      </c>
      <c r="T78" s="192">
        <f>VLOOKUP(B78,'Salary -Dec-2024 (Full)'!$B$6:$AE$383,19,0)</f>
        <v>0</v>
      </c>
      <c r="U78" s="337">
        <f>VLOOKUP(B78,'Salary -Dec-2024 (Full)'!$B$6:$AE$383,20,0)</f>
        <v>0</v>
      </c>
      <c r="V78" s="263">
        <f t="shared" si="197"/>
        <v>27000</v>
      </c>
      <c r="W78" s="192">
        <f>VLOOKUP(B78,'Salary -Dec-2024 (Full)'!$B$6:$AE$383,22,0)</f>
        <v>0</v>
      </c>
      <c r="X78" s="192">
        <f>VLOOKUP(B78,'Salary -Dec-2024 (Full)'!$B$6:$AE$383,23,0)</f>
        <v>0</v>
      </c>
      <c r="Y78" s="337">
        <f>VLOOKUP(B78,'Salary -Dec-2024 (Full)'!$B$6:$AE$383,24,0)</f>
        <v>810</v>
      </c>
      <c r="Z78" s="192">
        <f>VLOOKUP(B78,'Salary -Dec-2024 (Full)'!$B$6:$AE$383,25,0)</f>
        <v>0</v>
      </c>
      <c r="AA78" s="192">
        <f>VLOOKUP(B78,'Salary -Dec-2024 (Full)'!$B$6:$AE$383,26,0)</f>
        <v>0</v>
      </c>
      <c r="AB78" s="73">
        <f t="shared" si="198"/>
        <v>810</v>
      </c>
      <c r="AC78" s="73">
        <f t="shared" si="199"/>
        <v>26190</v>
      </c>
      <c r="AD78" s="74" t="str">
        <f>VLOOKUP(B78,'Salary -Dec-2024 (Full)'!$B$6:$AE$383,29,0)</f>
        <v>Bank</v>
      </c>
      <c r="AE78" s="618" t="str">
        <f>VLOOKUP(B78,'Salary -Dec-2024 (Full)'!$B$6:$AE$2853,30,0)</f>
        <v>165.158.0013674</v>
      </c>
      <c r="AF78" s="800"/>
      <c r="AG78" s="800"/>
      <c r="AJ78" s="183"/>
      <c r="AK78" s="320"/>
    </row>
    <row r="79" spans="1:37" s="61" customFormat="1" ht="22.5" customHeight="1">
      <c r="A79" s="62">
        <v>4</v>
      </c>
      <c r="B79" s="63" t="s">
        <v>341</v>
      </c>
      <c r="C79" s="255" t="str">
        <f>VLOOKUP(B79,'Salary -Dec-2024 (Full)'!$B$6:$D$383,2,0)</f>
        <v>Md. Robiullah</v>
      </c>
      <c r="D79" s="278" t="str">
        <f>VLOOKUP(B79,'Salary -Dec-2024 (Full)'!$B$6:$D$383,3,0)</f>
        <v>Store Worker</v>
      </c>
      <c r="E79" s="256" t="str">
        <f>VLOOKUP(B79,'Salary -Dec-2024 (Full)'!$B$6:$AE$383,4,0)</f>
        <v>Store &amp; Logistics</v>
      </c>
      <c r="F79" s="265">
        <f>VLOOKUP(B79,'Salary -Dec-2024 (Full)'!$B$6:$AE$383,5,0)</f>
        <v>44698</v>
      </c>
      <c r="G79" s="257">
        <f>VLOOKUP(B79,'Salary -Dec-2024 (Full)'!$B$6:$AE$286,6,0)</f>
        <v>31</v>
      </c>
      <c r="H79" s="258">
        <f>VLOOKUP(B79,'Salary -Dec-2024 (Full)'!$B$6:$AE$383,7,0)</f>
        <v>0</v>
      </c>
      <c r="I79" s="66">
        <f t="shared" ref="I79:I81" si="200">G79-H79</f>
        <v>31</v>
      </c>
      <c r="J79" s="67">
        <f t="shared" ref="J79:J81" si="201">Q79/G79</f>
        <v>354.83870967741933</v>
      </c>
      <c r="K79" s="68">
        <f>VLOOKUP(B79,'Salary -Dec-2024 (Full)'!$B$6:$AE$383,10,0)</f>
        <v>11000</v>
      </c>
      <c r="L79" s="68">
        <f t="shared" ref="L79:L81" si="202">K79*60%</f>
        <v>6600</v>
      </c>
      <c r="M79" s="68">
        <f t="shared" ref="M79:M81" si="203">K79*30%</f>
        <v>3300</v>
      </c>
      <c r="N79" s="68">
        <f t="shared" ref="N79:N81" si="204">K79*6%</f>
        <v>660</v>
      </c>
      <c r="O79" s="68">
        <f t="shared" ref="O79:O81" si="205">K79*4%</f>
        <v>440</v>
      </c>
      <c r="P79" s="259"/>
      <c r="Q79" s="260">
        <f t="shared" ref="Q79:Q81" si="206">SUM(L79:P79)</f>
        <v>11000</v>
      </c>
      <c r="R79" s="70">
        <f>VLOOKUP(B79,'Salary -Dec-2024 (Full)'!$B$6:$AE$383,17,0)</f>
        <v>11000</v>
      </c>
      <c r="S79" s="192">
        <f>VLOOKUP(B79,'Salary -Dec-2024 (Full)'!$B$6:$AE$383,18,0)</f>
        <v>0</v>
      </c>
      <c r="T79" s="192">
        <f>VLOOKUP(B79,'Salary -Dec-2024 (Full)'!$B$6:$AE$383,19,0)</f>
        <v>0</v>
      </c>
      <c r="U79" s="337">
        <f>VLOOKUP(B79,'Salary -Dec-2024 (Full)'!$B$6:$AE$383,20,0)</f>
        <v>0</v>
      </c>
      <c r="V79" s="263">
        <f t="shared" ref="V79:V81" si="207">SUM(R79:U79)</f>
        <v>11000</v>
      </c>
      <c r="W79" s="192">
        <f>VLOOKUP(B79,'Salary -Dec-2024 (Full)'!$B$6:$AE$383,22,0)</f>
        <v>0</v>
      </c>
      <c r="X79" s="192">
        <f>VLOOKUP(B79,'Salary -Dec-2024 (Full)'!$B$6:$AE$383,23,0)</f>
        <v>0</v>
      </c>
      <c r="Y79" s="337">
        <f>VLOOKUP(B79,'Salary -Dec-2024 (Full)'!$B$6:$AE$383,24,0)</f>
        <v>330</v>
      </c>
      <c r="Z79" s="192">
        <f>VLOOKUP(B79,'Salary -Dec-2024 (Full)'!$B$6:$AE$383,25,0)</f>
        <v>0</v>
      </c>
      <c r="AA79" s="192">
        <f>VLOOKUP(B79,'Salary -Dec-2024 (Full)'!$B$6:$AE$383,26,0)</f>
        <v>0</v>
      </c>
      <c r="AB79" s="73">
        <f t="shared" si="198"/>
        <v>330</v>
      </c>
      <c r="AC79" s="73">
        <f t="shared" si="199"/>
        <v>10670</v>
      </c>
      <c r="AD79" s="74" t="str">
        <f>VLOOKUP(B79,'Salary -Dec-2024 (Full)'!$B$6:$AE$383,29,0)</f>
        <v>Cash</v>
      </c>
      <c r="AE79" s="618">
        <f>VLOOKUP(B79,'Salary -Dec-2024 (Full)'!$B$6:$AE$2853,30,0)</f>
        <v>0</v>
      </c>
      <c r="AF79" s="800"/>
      <c r="AG79" s="800"/>
      <c r="AJ79" s="183"/>
      <c r="AK79" s="320"/>
    </row>
    <row r="80" spans="1:37" s="61" customFormat="1" ht="22.5" customHeight="1">
      <c r="A80" s="62">
        <v>5</v>
      </c>
      <c r="B80" s="63" t="s">
        <v>345</v>
      </c>
      <c r="C80" s="255" t="str">
        <f>VLOOKUP(B80,'Salary -Dec-2024 (Full)'!$B$6:$D$383,2,0)</f>
        <v>Mohammad Abul Bashar</v>
      </c>
      <c r="D80" s="278" t="str">
        <f>VLOOKUP(B80,'Salary -Dec-2024 (Full)'!$B$6:$D$383,3,0)</f>
        <v>Manager</v>
      </c>
      <c r="E80" s="256" t="str">
        <f>VLOOKUP(B80,'Salary -Dec-2024 (Full)'!$B$6:$AE$383,4,0)</f>
        <v>Store &amp; Logistics</v>
      </c>
      <c r="F80" s="265">
        <f>VLOOKUP(B80,'Salary -Dec-2024 (Full)'!$B$6:$AE$383,5,0)</f>
        <v>44774</v>
      </c>
      <c r="G80" s="257">
        <f>VLOOKUP(B80,'Salary -Dec-2024 (Full)'!$B$6:$AE$286,6,0)</f>
        <v>31</v>
      </c>
      <c r="H80" s="258">
        <f>VLOOKUP(B80,'Salary -Dec-2024 (Full)'!$B$6:$AE$383,7,0)</f>
        <v>0</v>
      </c>
      <c r="I80" s="66">
        <f t="shared" si="200"/>
        <v>31</v>
      </c>
      <c r="J80" s="67">
        <f t="shared" si="201"/>
        <v>1306.4516129032259</v>
      </c>
      <c r="K80" s="68">
        <f>VLOOKUP(B80,'Salary -Dec-2024 (Full)'!$B$6:$AE$383,10,0)</f>
        <v>40500</v>
      </c>
      <c r="L80" s="68">
        <f t="shared" si="202"/>
        <v>24300</v>
      </c>
      <c r="M80" s="68">
        <f t="shared" si="203"/>
        <v>12150</v>
      </c>
      <c r="N80" s="68">
        <f t="shared" si="204"/>
        <v>2430</v>
      </c>
      <c r="O80" s="68">
        <f t="shared" si="205"/>
        <v>1620</v>
      </c>
      <c r="P80" s="259"/>
      <c r="Q80" s="260">
        <f t="shared" si="206"/>
        <v>40500</v>
      </c>
      <c r="R80" s="70">
        <f>VLOOKUP(B80,'Salary -Dec-2024 (Full)'!$B$6:$AE$383,17,0)</f>
        <v>40500</v>
      </c>
      <c r="S80" s="192">
        <f>VLOOKUP(B80,'Salary -Dec-2024 (Full)'!$B$6:$AE$383,18,0)</f>
        <v>0</v>
      </c>
      <c r="T80" s="192">
        <f>VLOOKUP(B80,'Salary -Dec-2024 (Full)'!$B$6:$AE$383,19,0)</f>
        <v>0</v>
      </c>
      <c r="U80" s="337">
        <f>VLOOKUP(B80,'Salary -Dec-2024 (Full)'!$B$6:$AE$383,20,0)</f>
        <v>0</v>
      </c>
      <c r="V80" s="263">
        <f t="shared" si="207"/>
        <v>40500</v>
      </c>
      <c r="W80" s="192">
        <f>VLOOKUP(B80,'Salary -Dec-2024 (Full)'!$B$6:$AE$383,22,0)</f>
        <v>715</v>
      </c>
      <c r="X80" s="192">
        <f>VLOOKUP(B80,'Salary -Dec-2024 (Full)'!$B$6:$AE$383,23,0)</f>
        <v>0</v>
      </c>
      <c r="Y80" s="337">
        <f>VLOOKUP(B80,'Salary -Dec-2024 (Full)'!$B$6:$AE$383,24,0)</f>
        <v>1215</v>
      </c>
      <c r="Z80" s="192">
        <f>VLOOKUP(B80,'Salary -Dec-2024 (Full)'!$B$6:$AE$383,25,0)</f>
        <v>0</v>
      </c>
      <c r="AA80" s="192">
        <f>VLOOKUP(B80,'Salary -Dec-2024 (Full)'!$B$6:$AE$383,26,0)</f>
        <v>0</v>
      </c>
      <c r="AB80" s="73">
        <f t="shared" ref="AB80:AB82" si="208">SUM(W80:AA80)</f>
        <v>1930</v>
      </c>
      <c r="AC80" s="73">
        <f t="shared" ref="AC80:AC82" si="209">ROUND(V80-AB80,0)</f>
        <v>38570</v>
      </c>
      <c r="AD80" s="74" t="str">
        <f>VLOOKUP(B80,'Salary -Dec-2024 (Full)'!$B$6:$AE$383,29,0)</f>
        <v>Bank</v>
      </c>
      <c r="AE80" s="618" t="str">
        <f>VLOOKUP(B80,'Salary -Dec-2024 (Full)'!$B$6:$AE$2853,30,0)</f>
        <v>103.103.0765960</v>
      </c>
      <c r="AF80" s="800"/>
      <c r="AG80" s="800"/>
      <c r="AJ80" s="183"/>
      <c r="AK80" s="320"/>
    </row>
    <row r="81" spans="1:37" s="61" customFormat="1" ht="22.5" customHeight="1">
      <c r="A81" s="62">
        <v>6</v>
      </c>
      <c r="B81" s="63" t="s">
        <v>352</v>
      </c>
      <c r="C81" s="255" t="str">
        <f>VLOOKUP(B81,'Salary -Dec-2024 (Full)'!$B$6:$D$383,2,0)</f>
        <v>Shahjaman</v>
      </c>
      <c r="D81" s="278" t="str">
        <f>VLOOKUP(B81,'Salary -Dec-2024 (Full)'!$B$6:$D$383,3,0)</f>
        <v>Store Assistant</v>
      </c>
      <c r="E81" s="256" t="str">
        <f>VLOOKUP(B81,'Salary -Dec-2024 (Full)'!$B$6:$AE$383,4,0)</f>
        <v>Store &amp; Logistics</v>
      </c>
      <c r="F81" s="265">
        <f>VLOOKUP(B81,'Salary -Dec-2024 (Full)'!$B$6:$AE$383,5,0)</f>
        <v>44866</v>
      </c>
      <c r="G81" s="257">
        <f>VLOOKUP(B81,'Salary -Dec-2024 (Full)'!$B$6:$AE$286,6,0)</f>
        <v>31</v>
      </c>
      <c r="H81" s="258">
        <f>VLOOKUP(B81,'Salary -Dec-2024 (Full)'!$B$6:$AE$383,7,0)</f>
        <v>0</v>
      </c>
      <c r="I81" s="66">
        <f t="shared" si="200"/>
        <v>31</v>
      </c>
      <c r="J81" s="67">
        <f t="shared" si="201"/>
        <v>693.54838709677415</v>
      </c>
      <c r="K81" s="68">
        <f>VLOOKUP(B81,'Salary -Dec-2024 (Full)'!$B$6:$AE$383,10,0)</f>
        <v>21500</v>
      </c>
      <c r="L81" s="68">
        <f t="shared" si="202"/>
        <v>12900</v>
      </c>
      <c r="M81" s="68">
        <f t="shared" si="203"/>
        <v>6450</v>
      </c>
      <c r="N81" s="68">
        <f t="shared" si="204"/>
        <v>1290</v>
      </c>
      <c r="O81" s="68">
        <f t="shared" si="205"/>
        <v>860</v>
      </c>
      <c r="P81" s="259"/>
      <c r="Q81" s="260">
        <f t="shared" si="206"/>
        <v>21500</v>
      </c>
      <c r="R81" s="70">
        <f>VLOOKUP(B81,'Salary -Dec-2024 (Full)'!$B$6:$AE$383,17,0)</f>
        <v>21500</v>
      </c>
      <c r="S81" s="192">
        <f>VLOOKUP(B81,'Salary -Dec-2024 (Full)'!$B$6:$AE$383,18,0)</f>
        <v>0</v>
      </c>
      <c r="T81" s="192">
        <f>VLOOKUP(B81,'Salary -Dec-2024 (Full)'!$B$6:$AE$383,19,0)</f>
        <v>0</v>
      </c>
      <c r="U81" s="337">
        <f>VLOOKUP(B81,'Salary -Dec-2024 (Full)'!$B$6:$AE$383,20,0)</f>
        <v>0</v>
      </c>
      <c r="V81" s="263">
        <f t="shared" si="207"/>
        <v>21500</v>
      </c>
      <c r="W81" s="192">
        <f>VLOOKUP(B81,'Salary -Dec-2024 (Full)'!$B$6:$AE$383,22,0)</f>
        <v>0</v>
      </c>
      <c r="X81" s="192">
        <f>VLOOKUP(B81,'Salary -Dec-2024 (Full)'!$B$6:$AE$383,23,0)</f>
        <v>0</v>
      </c>
      <c r="Y81" s="337">
        <f>VLOOKUP(B81,'Salary -Dec-2024 (Full)'!$B$6:$AE$383,24,0)</f>
        <v>645</v>
      </c>
      <c r="Z81" s="192">
        <f>VLOOKUP(B81,'Salary -Dec-2024 (Full)'!$B$6:$AE$383,25,0)</f>
        <v>0</v>
      </c>
      <c r="AA81" s="192">
        <f>VLOOKUP(B81,'Salary -Dec-2024 (Full)'!$B$6:$AE$383,26,0)</f>
        <v>0</v>
      </c>
      <c r="AB81" s="73">
        <f t="shared" si="208"/>
        <v>645</v>
      </c>
      <c r="AC81" s="73">
        <f t="shared" si="209"/>
        <v>20855</v>
      </c>
      <c r="AD81" s="74" t="str">
        <f>VLOOKUP(B81,'Salary -Dec-2024 (Full)'!$B$6:$AE$383,29,0)</f>
        <v>Bank</v>
      </c>
      <c r="AE81" s="618" t="str">
        <f>VLOOKUP(B81,'Salary -Dec-2024 (Full)'!$B$6:$AE$2853,30,0)</f>
        <v>242.105.0067809</v>
      </c>
      <c r="AF81" s="800"/>
      <c r="AG81" s="800"/>
      <c r="AJ81" s="183"/>
      <c r="AK81" s="320"/>
    </row>
    <row r="82" spans="1:37" s="61" customFormat="1" ht="22.5" customHeight="1">
      <c r="A82" s="62">
        <v>7</v>
      </c>
      <c r="B82" s="63" t="s">
        <v>1140</v>
      </c>
      <c r="C82" s="255" t="str">
        <f>VLOOKUP(B82,'Salary -Dec-2024 (Full)'!$B$6:$D$383,2,0)</f>
        <v>Iqbal</v>
      </c>
      <c r="D82" s="278" t="str">
        <f>VLOOKUP(B82,'Salary -Dec-2024 (Full)'!$B$6:$D$383,3,0)</f>
        <v>Worker</v>
      </c>
      <c r="E82" s="256" t="str">
        <f>VLOOKUP(B82,'Salary -Dec-2024 (Full)'!$B$6:$AE$383,4,0)</f>
        <v>Store &amp; Logistics</v>
      </c>
      <c r="F82" s="265">
        <f>VLOOKUP(B82,'Salary -Dec-2024 (Full)'!$B$6:$AE$383,5,0)</f>
        <v>45078</v>
      </c>
      <c r="G82" s="257">
        <f>VLOOKUP(B82,'Salary -Dec-2024 (Full)'!$B$6:$AE$286,6,0)</f>
        <v>31</v>
      </c>
      <c r="H82" s="258">
        <f>VLOOKUP(B82,'Salary -Dec-2024 (Full)'!$B$6:$AE$383,7,0)</f>
        <v>0</v>
      </c>
      <c r="I82" s="66">
        <f t="shared" ref="I82" si="210">G82-H82</f>
        <v>31</v>
      </c>
      <c r="J82" s="67">
        <f t="shared" ref="J82" si="211">Q82/G82</f>
        <v>277.32258064516122</v>
      </c>
      <c r="K82" s="68">
        <f>VLOOKUP(B82,'Salary -Dec-2024 (Full)'!$B$6:$AE$383,10,0)</f>
        <v>8597</v>
      </c>
      <c r="L82" s="68">
        <f t="shared" ref="L82" si="212">K82*60%</f>
        <v>5158.2</v>
      </c>
      <c r="M82" s="68">
        <f t="shared" ref="M82" si="213">K82*30%</f>
        <v>2579.1</v>
      </c>
      <c r="N82" s="68">
        <f t="shared" ref="N82" si="214">K82*6%</f>
        <v>515.81999999999994</v>
      </c>
      <c r="O82" s="68">
        <f t="shared" ref="O82" si="215">K82*4%</f>
        <v>343.88</v>
      </c>
      <c r="P82" s="259"/>
      <c r="Q82" s="260">
        <f t="shared" ref="Q82" si="216">SUM(L82:P82)</f>
        <v>8596.9999999999982</v>
      </c>
      <c r="R82" s="70">
        <f>VLOOKUP(B82,'Salary -Dec-2024 (Full)'!$B$6:$AE$383,17,0)</f>
        <v>8597</v>
      </c>
      <c r="S82" s="192">
        <f>VLOOKUP(B82,'Salary -Dec-2024 (Full)'!$B$6:$AE$383,18,0)</f>
        <v>0</v>
      </c>
      <c r="T82" s="192">
        <f>VLOOKUP(B82,'Salary -Dec-2024 (Full)'!$B$6:$AE$383,19,0)</f>
        <v>0</v>
      </c>
      <c r="U82" s="337">
        <f>VLOOKUP(B82,'Salary -Dec-2024 (Full)'!$B$6:$AE$383,20,0)</f>
        <v>0</v>
      </c>
      <c r="V82" s="263">
        <f t="shared" ref="V82" si="217">SUM(R82:U82)</f>
        <v>8597</v>
      </c>
      <c r="W82" s="192">
        <f>VLOOKUP(B82,'Salary -Dec-2024 (Full)'!$B$6:$AE$383,22,0)</f>
        <v>0</v>
      </c>
      <c r="X82" s="192">
        <f>VLOOKUP(B82,'Salary -Dec-2024 (Full)'!$B$6:$AE$383,23,0)</f>
        <v>0</v>
      </c>
      <c r="Y82" s="337">
        <f>VLOOKUP(B82,'Salary -Dec-2024 (Full)'!$B$6:$AE$383,24,0)</f>
        <v>258</v>
      </c>
      <c r="Z82" s="192">
        <f>VLOOKUP(B82,'Salary -Dec-2024 (Full)'!$B$6:$AE$383,25,0)</f>
        <v>0</v>
      </c>
      <c r="AA82" s="192">
        <f>VLOOKUP(B82,'Salary -Dec-2024 (Full)'!$B$6:$AE$383,26,0)</f>
        <v>0</v>
      </c>
      <c r="AB82" s="73">
        <f t="shared" si="208"/>
        <v>258</v>
      </c>
      <c r="AC82" s="73">
        <f t="shared" si="209"/>
        <v>8339</v>
      </c>
      <c r="AD82" s="74" t="str">
        <f>VLOOKUP(B82,'Salary -Dec-2024 (Full)'!$B$6:$AE$383,29,0)</f>
        <v>Cash</v>
      </c>
      <c r="AE82" s="618">
        <f>VLOOKUP(B82,'Salary -Dec-2024 (Full)'!$B$6:$AE$2853,30,0)</f>
        <v>0</v>
      </c>
      <c r="AF82" s="800"/>
      <c r="AG82" s="800"/>
      <c r="AJ82" s="183"/>
      <c r="AK82" s="320"/>
    </row>
    <row r="83" spans="1:37" s="61" customFormat="1" ht="18.75" customHeight="1">
      <c r="A83" s="1031" t="s">
        <v>67</v>
      </c>
      <c r="B83" s="1032"/>
      <c r="C83" s="1033"/>
      <c r="D83" s="1034"/>
      <c r="E83" s="1040"/>
      <c r="F83" s="1040"/>
      <c r="G83" s="1040"/>
      <c r="H83" s="1040"/>
      <c r="I83" s="1040"/>
      <c r="J83" s="1040"/>
      <c r="K83" s="1037">
        <f>SUM(K76:K82)</f>
        <v>165097</v>
      </c>
      <c r="L83" s="1037">
        <f t="shared" ref="L83:AB83" si="218">SUM(L76:L82)</f>
        <v>99058.2</v>
      </c>
      <c r="M83" s="1037">
        <f t="shared" si="218"/>
        <v>49529.1</v>
      </c>
      <c r="N83" s="1037">
        <f t="shared" si="218"/>
        <v>9905.82</v>
      </c>
      <c r="O83" s="1037">
        <f t="shared" si="218"/>
        <v>6603.88</v>
      </c>
      <c r="P83" s="1037">
        <f t="shared" si="218"/>
        <v>0</v>
      </c>
      <c r="Q83" s="1037">
        <f t="shared" si="218"/>
        <v>165097</v>
      </c>
      <c r="R83" s="1037">
        <f t="shared" si="218"/>
        <v>165097</v>
      </c>
      <c r="S83" s="1037">
        <f t="shared" si="218"/>
        <v>0</v>
      </c>
      <c r="T83" s="1037">
        <f t="shared" si="218"/>
        <v>0</v>
      </c>
      <c r="U83" s="1037">
        <f t="shared" si="218"/>
        <v>0</v>
      </c>
      <c r="V83" s="1037">
        <f t="shared" si="218"/>
        <v>165097</v>
      </c>
      <c r="W83" s="1037">
        <f t="shared" si="218"/>
        <v>715</v>
      </c>
      <c r="X83" s="1037">
        <f t="shared" si="218"/>
        <v>0</v>
      </c>
      <c r="Y83" s="1037">
        <f t="shared" si="218"/>
        <v>4953</v>
      </c>
      <c r="Z83" s="1037">
        <f t="shared" si="218"/>
        <v>0</v>
      </c>
      <c r="AA83" s="1037">
        <f t="shared" si="218"/>
        <v>0</v>
      </c>
      <c r="AB83" s="1037">
        <f t="shared" si="218"/>
        <v>5668</v>
      </c>
      <c r="AC83" s="1037">
        <f>SUM(AC76:AC82)</f>
        <v>159429</v>
      </c>
      <c r="AD83" s="1038"/>
      <c r="AE83" s="1042"/>
      <c r="AF83" s="801"/>
      <c r="AG83" s="801"/>
      <c r="AJ83" s="183"/>
      <c r="AK83" s="320"/>
    </row>
    <row r="84" spans="1:37" s="47" customFormat="1" ht="12" customHeight="1">
      <c r="A84" s="201"/>
      <c r="B84" s="202"/>
      <c r="C84" s="203"/>
      <c r="D84" s="204"/>
      <c r="E84" s="205"/>
      <c r="F84" s="206"/>
      <c r="G84" s="208"/>
      <c r="H84" s="207"/>
      <c r="I84" s="208"/>
      <c r="J84" s="207"/>
      <c r="K84" s="274"/>
      <c r="L84" s="274"/>
      <c r="M84" s="274"/>
      <c r="N84" s="274"/>
      <c r="O84" s="274"/>
      <c r="P84" s="39"/>
      <c r="Q84" s="275"/>
      <c r="R84" s="275"/>
      <c r="S84" s="41"/>
      <c r="T84" s="41"/>
      <c r="U84" s="42"/>
      <c r="V84" s="276"/>
      <c r="W84" s="274"/>
      <c r="X84" s="44"/>
      <c r="Y84" s="41"/>
      <c r="Z84" s="41"/>
      <c r="AA84" s="41"/>
      <c r="AB84" s="45"/>
      <c r="AC84" s="45"/>
      <c r="AD84" s="277"/>
      <c r="AE84" s="616"/>
      <c r="AF84" s="796"/>
      <c r="AG84" s="796"/>
      <c r="AH84" s="61"/>
      <c r="AK84" s="320"/>
    </row>
    <row r="85" spans="1:37" s="30" customFormat="1" ht="19.5" customHeight="1" thickBot="1">
      <c r="A85" s="1032">
        <f>COUNT(A7:A83)</f>
        <v>59</v>
      </c>
      <c r="B85" s="1032"/>
      <c r="C85" s="1033"/>
      <c r="D85" s="1034"/>
      <c r="E85" s="1040"/>
      <c r="F85" s="1036"/>
      <c r="G85" s="1036"/>
      <c r="H85" s="1036"/>
      <c r="I85" s="1036"/>
      <c r="J85" s="1036"/>
      <c r="K85" s="1058">
        <f t="shared" ref="K85:AC85" si="219">+K83+K74+K61+K57+K47+K26+K22+K15+K66</f>
        <v>1869452</v>
      </c>
      <c r="L85" s="1058">
        <f t="shared" si="219"/>
        <v>1121671.2</v>
      </c>
      <c r="M85" s="1058">
        <f t="shared" si="219"/>
        <v>560835.6</v>
      </c>
      <c r="N85" s="1058">
        <f t="shared" si="219"/>
        <v>112167.12</v>
      </c>
      <c r="O85" s="1058">
        <f t="shared" si="219"/>
        <v>74778.080000000002</v>
      </c>
      <c r="P85" s="1058">
        <f t="shared" si="219"/>
        <v>0</v>
      </c>
      <c r="Q85" s="1058">
        <f t="shared" si="219"/>
        <v>1869452</v>
      </c>
      <c r="R85" s="1058">
        <f t="shared" si="219"/>
        <v>1856142</v>
      </c>
      <c r="S85" s="1058">
        <f t="shared" si="219"/>
        <v>2000</v>
      </c>
      <c r="T85" s="1058">
        <f t="shared" si="219"/>
        <v>6000</v>
      </c>
      <c r="U85" s="1058">
        <f t="shared" si="219"/>
        <v>4516</v>
      </c>
      <c r="V85" s="1058">
        <f t="shared" si="219"/>
        <v>1868658</v>
      </c>
      <c r="W85" s="1058">
        <f t="shared" si="219"/>
        <v>11385.857142857143</v>
      </c>
      <c r="X85" s="1058">
        <f t="shared" si="219"/>
        <v>7575</v>
      </c>
      <c r="Y85" s="1058">
        <f t="shared" si="219"/>
        <v>54317</v>
      </c>
      <c r="Z85" s="1058">
        <f t="shared" si="219"/>
        <v>25132</v>
      </c>
      <c r="AA85" s="1058">
        <f t="shared" si="219"/>
        <v>42000</v>
      </c>
      <c r="AB85" s="1058">
        <f t="shared" si="219"/>
        <v>140409.85714285716</v>
      </c>
      <c r="AC85" s="1058">
        <f t="shared" si="219"/>
        <v>1728248</v>
      </c>
      <c r="AD85" s="1043"/>
      <c r="AE85" s="1044"/>
      <c r="AF85" s="801"/>
      <c r="AG85" s="801"/>
      <c r="AH85" s="61"/>
      <c r="AK85" s="317"/>
    </row>
    <row r="86" spans="1:37" s="142" customFormat="1" ht="12.75" customHeight="1" thickTop="1">
      <c r="A86" s="132"/>
      <c r="B86" s="133"/>
      <c r="C86" s="134"/>
      <c r="D86" s="135"/>
      <c r="E86" s="136"/>
      <c r="F86" s="137"/>
      <c r="G86" s="138"/>
      <c r="H86" s="138"/>
      <c r="I86" s="139"/>
      <c r="J86" s="139"/>
      <c r="K86" s="139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1"/>
      <c r="AE86" s="621"/>
      <c r="AF86" s="621"/>
      <c r="AG86" s="621"/>
      <c r="AI86" s="223"/>
      <c r="AK86" s="321"/>
    </row>
    <row r="87" spans="1:37" s="130" customFormat="1" ht="20.100000000000001" customHeight="1">
      <c r="A87" s="121"/>
      <c r="B87" s="121"/>
      <c r="C87" s="122"/>
      <c r="D87" s="143"/>
      <c r="E87" s="121"/>
      <c r="F87" s="122"/>
      <c r="G87" s="124"/>
      <c r="H87" s="124"/>
      <c r="I87" s="123"/>
      <c r="J87" s="124"/>
      <c r="K87" s="124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W87" s="14"/>
      <c r="X87" s="127" t="s">
        <v>29</v>
      </c>
      <c r="Y87" s="126"/>
      <c r="Z87" s="125"/>
      <c r="AA87" s="125"/>
      <c r="AB87" s="125"/>
      <c r="AC87" s="127" t="s">
        <v>23</v>
      </c>
      <c r="AD87" s="128" t="s">
        <v>24</v>
      </c>
      <c r="AE87" s="622">
        <f>SUMIF(AD$8:AD$86,AC87,AC$8:AC$86)</f>
        <v>1709239</v>
      </c>
      <c r="AF87" s="622"/>
      <c r="AG87" s="622"/>
      <c r="AK87" s="322"/>
    </row>
    <row r="88" spans="1:37" s="130" customFormat="1" ht="20.100000000000001" customHeight="1">
      <c r="A88" s="121"/>
      <c r="B88" s="121"/>
      <c r="C88" s="122"/>
      <c r="D88" s="143"/>
      <c r="E88" s="121"/>
      <c r="F88" s="122"/>
      <c r="G88" s="124"/>
      <c r="H88" s="124"/>
      <c r="I88" s="123"/>
      <c r="J88" s="124"/>
      <c r="K88" s="124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4"/>
      <c r="W88" s="14"/>
      <c r="X88" s="125"/>
      <c r="Y88" s="126"/>
      <c r="Z88" s="125"/>
      <c r="AA88" s="125"/>
      <c r="AB88" s="125"/>
      <c r="AC88" s="127" t="s">
        <v>25</v>
      </c>
      <c r="AD88" s="128" t="s">
        <v>24</v>
      </c>
      <c r="AE88" s="622">
        <f>SUMIF(AD$8:AD$86,AC88,AC$8:AC$86)</f>
        <v>19009</v>
      </c>
      <c r="AF88" s="622"/>
      <c r="AG88" s="622"/>
      <c r="AK88" s="322"/>
    </row>
    <row r="89" spans="1:37" s="130" customFormat="1" ht="17.25" thickBot="1">
      <c r="A89" s="121"/>
      <c r="B89" s="121"/>
      <c r="C89" s="122"/>
      <c r="D89" s="143"/>
      <c r="E89" s="121"/>
      <c r="F89" s="122"/>
      <c r="G89" s="124"/>
      <c r="H89" s="124"/>
      <c r="I89" s="123"/>
      <c r="J89" s="124"/>
      <c r="K89" s="124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4"/>
      <c r="W89" s="14"/>
      <c r="X89" s="125"/>
      <c r="Y89" s="126"/>
      <c r="Z89" s="125"/>
      <c r="AA89" s="125"/>
      <c r="AB89" s="125"/>
      <c r="AC89" s="127"/>
      <c r="AD89" s="128"/>
      <c r="AE89" s="623">
        <f>SUM(AE87:AE88)</f>
        <v>1728248</v>
      </c>
      <c r="AF89" s="624"/>
      <c r="AG89" s="624"/>
      <c r="AK89" s="322"/>
    </row>
    <row r="90" spans="1:37" s="130" customFormat="1" ht="46.5" customHeight="1" thickTop="1">
      <c r="A90" s="121"/>
      <c r="B90" s="121"/>
      <c r="C90" s="122"/>
      <c r="D90" s="143"/>
      <c r="E90" s="121"/>
      <c r="F90" s="122"/>
      <c r="G90" s="124"/>
      <c r="H90" s="124"/>
      <c r="I90" s="123"/>
      <c r="J90" s="124"/>
      <c r="K90" s="124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4"/>
      <c r="W90" s="14"/>
      <c r="X90" s="125"/>
      <c r="Y90" s="126"/>
      <c r="Z90" s="125"/>
      <c r="AA90" s="125"/>
      <c r="AB90" s="125"/>
      <c r="AC90" s="127"/>
      <c r="AD90" s="128"/>
      <c r="AE90" s="624"/>
      <c r="AF90" s="624"/>
      <c r="AG90" s="624"/>
      <c r="AK90" s="322"/>
    </row>
    <row r="91" spans="1:37" s="130" customFormat="1" ht="19.5" customHeight="1">
      <c r="A91" s="121"/>
      <c r="B91" s="121"/>
      <c r="C91" s="122"/>
      <c r="D91" s="143"/>
      <c r="E91" s="121"/>
      <c r="F91" s="122"/>
      <c r="G91" s="124"/>
      <c r="H91" s="124"/>
      <c r="I91" s="123"/>
      <c r="J91" s="124"/>
      <c r="K91" s="124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4"/>
      <c r="W91" s="14"/>
      <c r="X91" s="14"/>
      <c r="Y91" s="14"/>
      <c r="Z91" s="13"/>
      <c r="AA91" s="13"/>
      <c r="AB91" s="12"/>
      <c r="AC91" s="12"/>
      <c r="AE91" s="624"/>
      <c r="AF91" s="624"/>
      <c r="AG91" s="624"/>
      <c r="AK91" s="322"/>
    </row>
    <row r="92" spans="1:37" s="130" customFormat="1" ht="15">
      <c r="A92" s="121"/>
      <c r="B92" s="121"/>
      <c r="C92" s="122"/>
      <c r="D92" s="143"/>
      <c r="E92" s="121"/>
      <c r="F92" s="122"/>
      <c r="G92" s="124"/>
      <c r="H92" s="124"/>
      <c r="I92" s="123"/>
      <c r="J92" s="124"/>
      <c r="K92" s="124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45"/>
      <c r="AE92" s="625"/>
      <c r="AF92" s="625"/>
      <c r="AG92" s="625"/>
      <c r="AK92" s="322"/>
    </row>
    <row r="93" spans="1:37" s="130" customFormat="1" ht="19.5" customHeight="1">
      <c r="A93" s="121"/>
      <c r="B93" s="121"/>
      <c r="C93" s="122"/>
      <c r="D93" s="143"/>
      <c r="E93" s="121"/>
      <c r="F93" s="122"/>
      <c r="G93" s="124"/>
      <c r="H93" s="124"/>
      <c r="I93" s="123"/>
      <c r="J93" s="124"/>
      <c r="K93" s="124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45"/>
      <c r="AE93" s="625"/>
      <c r="AF93" s="625"/>
      <c r="AG93" s="625"/>
      <c r="AK93" s="322"/>
    </row>
    <row r="94" spans="1:37" s="130" customFormat="1" ht="19.5" customHeight="1">
      <c r="A94" s="121"/>
      <c r="B94" s="121"/>
      <c r="C94" s="122"/>
      <c r="D94" s="143"/>
      <c r="E94" s="121"/>
      <c r="F94" s="122"/>
      <c r="G94" s="124"/>
      <c r="H94" s="124"/>
      <c r="I94" s="123"/>
      <c r="J94" s="124"/>
      <c r="K94" s="124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45"/>
      <c r="AE94" s="625"/>
      <c r="AF94" s="625"/>
      <c r="AG94" s="625"/>
      <c r="AK94" s="322"/>
    </row>
    <row r="95" spans="1:37" s="130" customFormat="1" ht="19.5" customHeight="1">
      <c r="A95" s="121"/>
      <c r="B95" s="121"/>
      <c r="C95" s="122"/>
      <c r="D95" s="143"/>
      <c r="E95" s="121"/>
      <c r="F95" s="122"/>
      <c r="G95" s="124"/>
      <c r="H95" s="124"/>
      <c r="I95" s="123"/>
      <c r="J95" s="124"/>
      <c r="K95" s="124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X95" s="146"/>
      <c r="Y95" s="123"/>
      <c r="Z95" s="123"/>
      <c r="AA95" s="123"/>
      <c r="AB95" s="123"/>
      <c r="AC95" s="123"/>
      <c r="AD95" s="145"/>
      <c r="AE95" s="123"/>
      <c r="AF95" s="123"/>
      <c r="AG95" s="123"/>
      <c r="AK95" s="322"/>
    </row>
    <row r="96" spans="1:37" s="17" customFormat="1" ht="16.5">
      <c r="B96" s="18"/>
      <c r="C96" s="18"/>
      <c r="D96" s="147"/>
      <c r="E96" s="148"/>
      <c r="F96" s="18"/>
      <c r="G96" s="18"/>
      <c r="H96" s="248"/>
      <c r="I96" s="18"/>
      <c r="J96" s="18"/>
      <c r="K96" s="18"/>
      <c r="L96" s="18"/>
      <c r="M96" s="18"/>
      <c r="N96" s="18"/>
      <c r="Q96" s="18"/>
      <c r="R96" s="18"/>
      <c r="S96" s="18"/>
      <c r="T96" s="18"/>
      <c r="U96" s="18"/>
      <c r="V96" s="18"/>
      <c r="Z96" s="18"/>
      <c r="AA96" s="18"/>
      <c r="AB96" s="18"/>
      <c r="AC96" s="18"/>
      <c r="AD96" s="18"/>
      <c r="AE96" s="626"/>
      <c r="AF96" s="626"/>
      <c r="AG96" s="626"/>
      <c r="AK96" s="323"/>
    </row>
    <row r="97" spans="1:37" s="130" customFormat="1" ht="19.5" customHeight="1">
      <c r="A97" s="121"/>
      <c r="B97" s="121"/>
      <c r="C97" s="122"/>
      <c r="D97" s="143"/>
      <c r="E97" s="121"/>
      <c r="F97" s="122"/>
      <c r="G97" s="124"/>
      <c r="H97" s="124"/>
      <c r="I97" s="123"/>
      <c r="J97" s="124"/>
      <c r="K97" s="124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45"/>
      <c r="AE97" s="625"/>
      <c r="AF97" s="625"/>
      <c r="AG97" s="625"/>
      <c r="AK97" s="322"/>
    </row>
    <row r="98" spans="1:37" s="155" customFormat="1" ht="19.5" customHeight="1">
      <c r="A98" s="149"/>
      <c r="B98" s="149"/>
      <c r="C98" s="150"/>
      <c r="D98" s="151"/>
      <c r="E98" s="149"/>
      <c r="F98" s="150"/>
      <c r="G98" s="152"/>
      <c r="H98" s="152"/>
      <c r="I98" s="153"/>
      <c r="J98" s="152"/>
      <c r="K98" s="152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23"/>
      <c r="X98" s="153"/>
      <c r="Y98" s="153"/>
      <c r="Z98" s="153"/>
      <c r="AA98" s="153"/>
      <c r="AB98" s="153"/>
      <c r="AC98" s="153"/>
      <c r="AD98" s="154"/>
      <c r="AE98" s="627"/>
      <c r="AF98" s="627"/>
      <c r="AG98" s="627"/>
      <c r="AK98" s="324"/>
    </row>
    <row r="99" spans="1:37" ht="21" customHeight="1">
      <c r="V99" s="164"/>
    </row>
    <row r="100" spans="1:37" s="167" customFormat="1" ht="18">
      <c r="A100" s="166"/>
      <c r="B100" s="166"/>
      <c r="D100" s="168"/>
      <c r="E100" s="166"/>
      <c r="G100" s="169"/>
      <c r="H100" s="170"/>
      <c r="J100" s="170"/>
      <c r="K100" s="170"/>
      <c r="L100" s="171"/>
      <c r="M100" s="171"/>
      <c r="N100" s="171"/>
      <c r="O100" s="171"/>
      <c r="P100" s="171"/>
      <c r="Q100" s="172"/>
      <c r="R100" s="173"/>
      <c r="T100" s="166"/>
      <c r="V100" s="173"/>
      <c r="W100" s="174"/>
      <c r="X100" s="175"/>
      <c r="Y100" s="176"/>
      <c r="Z100" s="166"/>
      <c r="AA100" s="166"/>
      <c r="AB100" s="166"/>
      <c r="AC100" s="166"/>
      <c r="AD100" s="166"/>
      <c r="AE100" s="171"/>
      <c r="AF100" s="171"/>
      <c r="AG100" s="171"/>
      <c r="AK100" s="326"/>
    </row>
    <row r="101" spans="1:37" s="167" customFormat="1" ht="18">
      <c r="A101" s="166"/>
      <c r="B101" s="166"/>
      <c r="D101" s="168"/>
      <c r="E101" s="166"/>
      <c r="H101" s="170"/>
      <c r="J101" s="169"/>
      <c r="K101" s="169"/>
      <c r="L101" s="171"/>
      <c r="M101" s="172"/>
      <c r="O101" s="171"/>
      <c r="R101" s="173"/>
      <c r="T101" s="166"/>
      <c r="V101" s="173"/>
      <c r="W101" s="174"/>
      <c r="Z101" s="166"/>
      <c r="AA101" s="166"/>
      <c r="AB101" s="166"/>
      <c r="AC101" s="166"/>
      <c r="AD101" s="166"/>
      <c r="AE101" s="171"/>
      <c r="AF101" s="171"/>
      <c r="AG101" s="171"/>
      <c r="AK101" s="326"/>
    </row>
    <row r="102" spans="1:37" s="167" customFormat="1" ht="18">
      <c r="D102" s="168"/>
      <c r="E102" s="166"/>
      <c r="H102" s="170"/>
      <c r="J102" s="170"/>
      <c r="K102" s="170"/>
      <c r="R102" s="166"/>
      <c r="S102" s="177"/>
      <c r="T102" s="178"/>
      <c r="V102" s="173"/>
      <c r="W102" s="174"/>
      <c r="AD102" s="166"/>
      <c r="AE102" s="171"/>
      <c r="AF102" s="171"/>
      <c r="AG102" s="171"/>
      <c r="AK102" s="326"/>
    </row>
    <row r="103" spans="1:37" s="167" customFormat="1" ht="18">
      <c r="D103" s="168"/>
      <c r="E103" s="166"/>
      <c r="F103" s="179"/>
      <c r="H103" s="170"/>
      <c r="J103" s="170"/>
      <c r="K103" s="170"/>
      <c r="R103" s="166"/>
      <c r="S103" s="177"/>
      <c r="T103" s="178"/>
      <c r="V103" s="173"/>
      <c r="W103" s="174"/>
      <c r="AD103" s="166"/>
      <c r="AE103" s="171"/>
      <c r="AF103" s="171"/>
      <c r="AG103" s="171"/>
      <c r="AK103" s="326"/>
    </row>
    <row r="104" spans="1:37" s="167" customFormat="1" ht="18">
      <c r="D104" s="168"/>
      <c r="E104" s="166"/>
      <c r="H104" s="170"/>
      <c r="J104" s="170"/>
      <c r="K104" s="170"/>
      <c r="R104" s="166"/>
      <c r="V104" s="173"/>
      <c r="W104" s="174"/>
      <c r="AD104" s="166"/>
      <c r="AE104" s="171"/>
      <c r="AF104" s="171"/>
      <c r="AG104" s="171"/>
      <c r="AK104" s="326"/>
    </row>
    <row r="105" spans="1:37" ht="18">
      <c r="A105" s="167"/>
      <c r="B105" s="167"/>
      <c r="C105" s="167"/>
      <c r="F105" s="167"/>
      <c r="J105" s="170"/>
      <c r="K105" s="170"/>
      <c r="L105" s="167"/>
      <c r="M105" s="167"/>
      <c r="N105" s="167"/>
      <c r="O105" s="167"/>
      <c r="R105" s="166"/>
      <c r="AB105" s="167"/>
      <c r="AC105" s="167"/>
      <c r="AD105" s="166"/>
    </row>
    <row r="122" spans="2:2" ht="20.25">
      <c r="B122" s="180"/>
    </row>
    <row r="267" spans="24:24">
      <c r="X267" s="561">
        <f>Harv!Z61</f>
        <v>0</v>
      </c>
    </row>
  </sheetData>
  <mergeCells count="24">
    <mergeCell ref="Q5:Q6"/>
    <mergeCell ref="A1:AE1"/>
    <mergeCell ref="A2:AE2"/>
    <mergeCell ref="A3:AE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P5"/>
    <mergeCell ref="AD5:AD6"/>
    <mergeCell ref="AE5:AE6"/>
    <mergeCell ref="R5:R6"/>
    <mergeCell ref="S5:U5"/>
    <mergeCell ref="V5:V6"/>
    <mergeCell ref="AB5:AB6"/>
    <mergeCell ref="AC5:AC6"/>
    <mergeCell ref="W5:AA5"/>
  </mergeCells>
  <conditionalFormatting sqref="B14">
    <cfRule type="duplicateValues" dxfId="67" priority="1341"/>
  </conditionalFormatting>
  <conditionalFormatting sqref="B21">
    <cfRule type="duplicateValues" dxfId="66" priority="694"/>
  </conditionalFormatting>
  <conditionalFormatting sqref="B43:B46">
    <cfRule type="duplicateValues" dxfId="65" priority="1"/>
    <cfRule type="duplicateValues" dxfId="64" priority="2"/>
  </conditionalFormatting>
  <conditionalFormatting sqref="B60">
    <cfRule type="duplicateValues" dxfId="63" priority="1360"/>
  </conditionalFormatting>
  <conditionalFormatting sqref="B62:B66">
    <cfRule type="duplicateValues" dxfId="62" priority="52"/>
  </conditionalFormatting>
  <conditionalFormatting sqref="B70:B71 B28:B42">
    <cfRule type="duplicateValues" dxfId="61" priority="26"/>
  </conditionalFormatting>
  <conditionalFormatting sqref="B72">
    <cfRule type="duplicateValues" dxfId="60" priority="57"/>
  </conditionalFormatting>
  <conditionalFormatting sqref="B73">
    <cfRule type="duplicateValues" dxfId="59" priority="2343"/>
  </conditionalFormatting>
  <conditionalFormatting sqref="B82">
    <cfRule type="duplicateValues" dxfId="58" priority="1351"/>
  </conditionalFormatting>
  <conditionalFormatting sqref="B83 B74:B81 B8:B13 B67:B71 B15:B20 B61 B22:B42 B47:B59">
    <cfRule type="duplicateValues" dxfId="57" priority="1350"/>
  </conditionalFormatting>
  <printOptions horizontalCentered="1"/>
  <pageMargins left="0.19685039370078741" right="0" top="0.35433070866141736" bottom="0.43307086614173229" header="0" footer="0"/>
  <pageSetup paperSize="9" scale="47" fitToHeight="0" orientation="landscape" verticalDpi="1200" r:id="rId1"/>
  <headerFooter>
    <oddFooter xml:space="preserve">&amp;C                                                                                             &amp;R&amp;"-,Bold"&amp;14Page &amp;P of &amp;N  </oddFooter>
  </headerFooter>
  <rowBreaks count="1" manualBreakCount="1">
    <brk id="47" max="3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tabColor theme="7" tint="0.39997558519241921"/>
  </sheetPr>
  <dimension ref="A1:AI215"/>
  <sheetViews>
    <sheetView view="pageBreakPreview" zoomScale="85" zoomScaleNormal="100" zoomScaleSheetLayoutView="85" zoomScalePageLayoutView="80" workbookViewId="0">
      <pane xSplit="4" ySplit="6" topLeftCell="G172" activePane="bottomRight" state="frozen"/>
      <selection activeCell="A85" activeCellId="1" sqref="A83:AE83 A85:AE85"/>
      <selection pane="topRight" activeCell="A85" activeCellId="1" sqref="A83:AE83 A85:AE85"/>
      <selection pane="bottomLeft" activeCell="A85" activeCellId="1" sqref="A83:AE83 A85:AE85"/>
      <selection pane="bottomRight" activeCell="AI9" sqref="AI9"/>
    </sheetView>
  </sheetViews>
  <sheetFormatPr defaultColWidth="9.140625" defaultRowHeight="12.75"/>
  <cols>
    <col min="1" max="1" width="4.140625" style="156" customWidth="1"/>
    <col min="2" max="2" width="12.7109375" style="156" customWidth="1"/>
    <col min="3" max="3" width="21.7109375" style="157" customWidth="1"/>
    <col min="4" max="4" width="16.7109375" style="158" customWidth="1"/>
    <col min="5" max="5" width="13" style="156" customWidth="1"/>
    <col min="6" max="6" width="11.28515625" style="482" customWidth="1"/>
    <col min="7" max="7" width="4.28515625" style="159" customWidth="1"/>
    <col min="8" max="8" width="5.5703125" style="160" customWidth="1"/>
    <col min="9" max="9" width="5.7109375" style="157" customWidth="1"/>
    <col min="10" max="10" width="7" style="160" customWidth="1"/>
    <col min="11" max="11" width="10.140625" style="160" customWidth="1"/>
    <col min="12" max="12" width="9.85546875" style="161" customWidth="1"/>
    <col min="13" max="13" width="8.85546875" style="161" customWidth="1"/>
    <col min="14" max="14" width="8.28515625" style="161" customWidth="1"/>
    <col min="15" max="15" width="8.7109375" style="161" customWidth="1"/>
    <col min="16" max="16" width="7.42578125" style="161" customWidth="1"/>
    <col min="17" max="17" width="9.7109375" style="162" customWidth="1"/>
    <col min="18" max="18" width="9.7109375" style="163" customWidth="1"/>
    <col min="19" max="19" width="7.28515625" style="157" customWidth="1"/>
    <col min="20" max="20" width="7.28515625" style="156" customWidth="1"/>
    <col min="21" max="21" width="8.42578125" style="157" customWidth="1"/>
    <col min="22" max="22" width="9.7109375" style="163" customWidth="1"/>
    <col min="23" max="23" width="7.7109375" style="165" customWidth="1"/>
    <col min="24" max="24" width="7" style="157" customWidth="1"/>
    <col min="25" max="25" width="7.140625" style="157" customWidth="1"/>
    <col min="26" max="27" width="7.5703125" style="156" customWidth="1"/>
    <col min="28" max="28" width="7.85546875" style="156" customWidth="1"/>
    <col min="29" max="29" width="9.7109375" style="156" customWidth="1"/>
    <col min="30" max="30" width="5.5703125" style="156" customWidth="1"/>
    <col min="31" max="31" width="14.28515625" style="159" customWidth="1"/>
    <col min="32" max="32" width="5.42578125" style="157" customWidth="1"/>
    <col min="33" max="33" width="13.42578125" style="157" bestFit="1" customWidth="1"/>
    <col min="34" max="34" width="9" style="157" bestFit="1" customWidth="1"/>
    <col min="35" max="35" width="23" style="325" customWidth="1"/>
    <col min="36" max="16384" width="9.140625" style="157"/>
  </cols>
  <sheetData>
    <row r="1" spans="1:35" s="26" customFormat="1" ht="25.5">
      <c r="A1" s="1157" t="s">
        <v>837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  <c r="O1" s="1157"/>
      <c r="P1" s="1157"/>
      <c r="Q1" s="1157"/>
      <c r="R1" s="1157"/>
      <c r="S1" s="1157"/>
      <c r="T1" s="1157"/>
      <c r="U1" s="1157"/>
      <c r="V1" s="1157"/>
      <c r="W1" s="1157"/>
      <c r="X1" s="1157"/>
      <c r="Y1" s="1157"/>
      <c r="Z1" s="1157"/>
      <c r="AA1" s="1157"/>
      <c r="AB1" s="1157"/>
      <c r="AC1" s="1157"/>
      <c r="AD1" s="1157"/>
      <c r="AE1" s="1157"/>
      <c r="AI1" s="316"/>
    </row>
    <row r="2" spans="1:35" s="26" customFormat="1" ht="18">
      <c r="A2" s="1158" t="s">
        <v>1</v>
      </c>
      <c r="B2" s="1158"/>
      <c r="C2" s="1158"/>
      <c r="D2" s="1158"/>
      <c r="E2" s="1158"/>
      <c r="F2" s="1158"/>
      <c r="G2" s="1158"/>
      <c r="H2" s="1158"/>
      <c r="I2" s="1158"/>
      <c r="J2" s="1158"/>
      <c r="K2" s="1158"/>
      <c r="L2" s="1158"/>
      <c r="M2" s="1158"/>
      <c r="N2" s="1158"/>
      <c r="O2" s="1158"/>
      <c r="P2" s="1158"/>
      <c r="Q2" s="1158"/>
      <c r="R2" s="1158"/>
      <c r="S2" s="1158"/>
      <c r="T2" s="1158"/>
      <c r="U2" s="1158"/>
      <c r="V2" s="1158"/>
      <c r="W2" s="1158"/>
      <c r="X2" s="1158"/>
      <c r="Y2" s="1158"/>
      <c r="Z2" s="1158"/>
      <c r="AA2" s="1158"/>
      <c r="AB2" s="1158"/>
      <c r="AC2" s="1158"/>
      <c r="AD2" s="1158"/>
      <c r="AE2" s="1158"/>
      <c r="AI2" s="316"/>
    </row>
    <row r="3" spans="1:35" s="26" customFormat="1" ht="18">
      <c r="A3" s="1158" t="str">
        <f>Harv!A3</f>
        <v>Salary Statement for the month of  December - 2024</v>
      </c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E3" s="1158"/>
      <c r="AI3" s="316"/>
    </row>
    <row r="4" spans="1:35" s="26" customFormat="1" ht="20.25">
      <c r="A4" s="27"/>
      <c r="B4" s="27"/>
      <c r="C4" s="27"/>
      <c r="D4" s="28"/>
      <c r="E4" s="27"/>
      <c r="F4" s="473"/>
      <c r="G4" s="27"/>
      <c r="H4" s="246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556" t="s">
        <v>2</v>
      </c>
      <c r="AI4" s="316"/>
    </row>
    <row r="5" spans="1:35" s="30" customFormat="1" ht="19.5" customHeight="1">
      <c r="A5" s="1159" t="s">
        <v>3</v>
      </c>
      <c r="B5" s="1177" t="s">
        <v>30</v>
      </c>
      <c r="C5" s="1178" t="s">
        <v>31</v>
      </c>
      <c r="D5" s="1160" t="s">
        <v>32</v>
      </c>
      <c r="E5" s="1160" t="s">
        <v>503</v>
      </c>
      <c r="F5" s="1179" t="s">
        <v>34</v>
      </c>
      <c r="G5" s="1162" t="s">
        <v>35</v>
      </c>
      <c r="H5" s="1162" t="s">
        <v>36</v>
      </c>
      <c r="I5" s="1162" t="s">
        <v>37</v>
      </c>
      <c r="J5" s="1162" t="s">
        <v>38</v>
      </c>
      <c r="K5" s="1147" t="s">
        <v>7</v>
      </c>
      <c r="L5" s="1163" t="s">
        <v>39</v>
      </c>
      <c r="M5" s="1163"/>
      <c r="N5" s="1163"/>
      <c r="O5" s="1163"/>
      <c r="P5" s="1163"/>
      <c r="Q5" s="1149" t="s">
        <v>7</v>
      </c>
      <c r="R5" s="1149" t="s">
        <v>8</v>
      </c>
      <c r="S5" s="1150" t="s">
        <v>9</v>
      </c>
      <c r="T5" s="1150"/>
      <c r="U5" s="1150"/>
      <c r="V5" s="1151" t="s">
        <v>40</v>
      </c>
      <c r="W5" s="1153" t="s">
        <v>10</v>
      </c>
      <c r="X5" s="1154"/>
      <c r="Y5" s="1154"/>
      <c r="Z5" s="1154"/>
      <c r="AA5" s="1155"/>
      <c r="AB5" s="1151" t="s">
        <v>11</v>
      </c>
      <c r="AC5" s="1152" t="s">
        <v>41</v>
      </c>
      <c r="AD5" s="1146" t="s">
        <v>42</v>
      </c>
      <c r="AE5" s="1180" t="s">
        <v>43</v>
      </c>
      <c r="AI5" s="317"/>
    </row>
    <row r="6" spans="1:35" s="272" customFormat="1" ht="63.75" customHeight="1">
      <c r="A6" s="1159"/>
      <c r="B6" s="1177"/>
      <c r="C6" s="1178"/>
      <c r="D6" s="1160"/>
      <c r="E6" s="1160"/>
      <c r="F6" s="1179"/>
      <c r="G6" s="1162"/>
      <c r="H6" s="1162"/>
      <c r="I6" s="1162"/>
      <c r="J6" s="1162"/>
      <c r="K6" s="1148"/>
      <c r="L6" s="1027" t="s">
        <v>13</v>
      </c>
      <c r="M6" s="1027" t="s">
        <v>14</v>
      </c>
      <c r="N6" s="1028" t="s">
        <v>15</v>
      </c>
      <c r="O6" s="1028" t="s">
        <v>16</v>
      </c>
      <c r="P6" s="1028" t="s">
        <v>17</v>
      </c>
      <c r="Q6" s="1149"/>
      <c r="R6" s="1149"/>
      <c r="S6" s="1029" t="s">
        <v>18</v>
      </c>
      <c r="T6" s="1029" t="s">
        <v>19</v>
      </c>
      <c r="U6" s="1029" t="s">
        <v>623</v>
      </c>
      <c r="V6" s="1151"/>
      <c r="W6" s="1029" t="s">
        <v>21</v>
      </c>
      <c r="X6" s="1029" t="s">
        <v>585</v>
      </c>
      <c r="Y6" s="1092" t="s">
        <v>1249</v>
      </c>
      <c r="Z6" s="1029" t="s">
        <v>536</v>
      </c>
      <c r="AA6" s="1029" t="s">
        <v>951</v>
      </c>
      <c r="AB6" s="1151"/>
      <c r="AC6" s="1152"/>
      <c r="AD6" s="1146"/>
      <c r="AE6" s="1180"/>
      <c r="AI6" s="318"/>
    </row>
    <row r="7" spans="1:35" s="130" customFormat="1" ht="24" customHeight="1">
      <c r="A7" s="362" t="s">
        <v>836</v>
      </c>
      <c r="B7" s="121"/>
      <c r="C7" s="122"/>
      <c r="D7" s="143"/>
      <c r="E7" s="121"/>
      <c r="F7" s="363"/>
      <c r="G7" s="123"/>
      <c r="H7" s="360"/>
      <c r="I7" s="123"/>
      <c r="J7" s="124"/>
      <c r="K7" s="361"/>
      <c r="L7" s="361"/>
      <c r="M7" s="361"/>
      <c r="N7" s="361"/>
      <c r="O7" s="361"/>
      <c r="P7" s="361"/>
      <c r="Q7" s="123"/>
      <c r="R7" s="361"/>
      <c r="S7" s="361"/>
      <c r="T7" s="361"/>
      <c r="U7" s="361"/>
      <c r="V7" s="469"/>
      <c r="W7" s="469"/>
      <c r="X7" s="470"/>
      <c r="Y7" s="471"/>
      <c r="Z7" s="470"/>
      <c r="AA7" s="470"/>
      <c r="AB7" s="470"/>
      <c r="AC7" s="472"/>
      <c r="AD7" s="128"/>
      <c r="AE7" s="129"/>
      <c r="AG7" s="61"/>
      <c r="AH7" s="198"/>
    </row>
    <row r="8" spans="1:35" s="47" customFormat="1" ht="24" customHeight="1">
      <c r="A8" s="501">
        <v>1</v>
      </c>
      <c r="B8" s="502" t="s">
        <v>719</v>
      </c>
      <c r="C8" s="329" t="str">
        <f>VLOOKUP(B8,'Salary -Dec-2024 (Full)'!$B$6:$D$286,2,0)</f>
        <v>Nayem Iqbal</v>
      </c>
      <c r="D8" s="330" t="str">
        <f>VLOOKUP(B8,'Salary -Dec-2024 (Full)'!$B$6:$D$286,3,0)</f>
        <v>Accounts Officer</v>
      </c>
      <c r="E8" s="331" t="str">
        <f>VLOOKUP(B8,'Salary -Dec-2024 (Full)'!$B$6:$AE$286,4,0)</f>
        <v>A&amp;F</v>
      </c>
      <c r="F8" s="503">
        <f>VLOOKUP(B8,'Salary -Dec-2024 (Full)'!$B$6:$AE$286,5,0)</f>
        <v>45122</v>
      </c>
      <c r="G8" s="286">
        <f>VLOOKUP(B8,'Salary -Dec-2024 (Full)'!$B$6:$AE$286,6,0)</f>
        <v>31</v>
      </c>
      <c r="H8" s="332">
        <f>VLOOKUP(B8,'Salary -Dec-2024 (Full)'!$B$6:$AE$286,7,0)</f>
        <v>0</v>
      </c>
      <c r="I8" s="286">
        <f t="shared" ref="I8" si="0">G8-H8</f>
        <v>31</v>
      </c>
      <c r="J8" s="332">
        <f t="shared" ref="J8" si="1">Q8/G8</f>
        <v>741.93548387096769</v>
      </c>
      <c r="K8" s="58">
        <f>VLOOKUP(B8,'Salary -Dec-2024 (Full)'!$B$6:$AE$286,10,0)</f>
        <v>23000</v>
      </c>
      <c r="L8" s="58">
        <f t="shared" ref="L8" si="2">K8*60%</f>
        <v>13800</v>
      </c>
      <c r="M8" s="58">
        <f t="shared" ref="M8" si="3">K8*30%</f>
        <v>6900</v>
      </c>
      <c r="N8" s="58">
        <f t="shared" ref="N8" si="4">K8*6%</f>
        <v>1380</v>
      </c>
      <c r="O8" s="58">
        <f t="shared" ref="O8" si="5">K8*4%</f>
        <v>920</v>
      </c>
      <c r="P8" s="333">
        <v>0</v>
      </c>
      <c r="Q8" s="334">
        <f>SUM(L8:P8)</f>
        <v>23000</v>
      </c>
      <c r="R8" s="56">
        <f>VLOOKUP(B8,'Salary -Dec-2024 (Full)'!$B$6:$AE$383,17,0)</f>
        <v>23000</v>
      </c>
      <c r="S8" s="58">
        <f>VLOOKUP(B8,'Salary -Dec-2024 (Full)'!$B$6:$AE$383,18,0)</f>
        <v>0</v>
      </c>
      <c r="T8" s="58">
        <f>VLOOKUP(B8,'Salary -Dec-2024 (Full)'!$B$6:$AE$383,19,0)</f>
        <v>0</v>
      </c>
      <c r="U8" s="393">
        <f>VLOOKUP(B8,'Salary -Dec-2024 (Full)'!$B$6:$AE$383,20,0)</f>
        <v>0</v>
      </c>
      <c r="V8" s="335">
        <f>SUM(R8:U8)</f>
        <v>23000</v>
      </c>
      <c r="W8" s="58">
        <f>VLOOKUP(B8,'Salary -Dec-2024 (Full)'!$B$6:$AE$383,22,0)</f>
        <v>0</v>
      </c>
      <c r="X8" s="58">
        <f>VLOOKUP(B8,'Salary -Dec-2024 (Full)'!$B$6:$AE$383,23,0)</f>
        <v>0</v>
      </c>
      <c r="Y8" s="393">
        <f>VLOOKUP(B8,'Salary -Dec-2024 (Full)'!$B$6:$AE$383,24,0)</f>
        <v>690</v>
      </c>
      <c r="Z8" s="58">
        <f>VLOOKUP(B8,'Salary -Dec-2024 (Full)'!$B$6:$AE$383,25,0)</f>
        <v>0</v>
      </c>
      <c r="AA8" s="58">
        <f>VLOOKUP(B8,'Salary -Dec-2024 (Full)'!$B$6:$AE$383,26,0)</f>
        <v>0</v>
      </c>
      <c r="AB8" s="394">
        <f t="shared" ref="AB8" si="6">SUM(W8:AA8)</f>
        <v>690</v>
      </c>
      <c r="AC8" s="59">
        <f t="shared" ref="AC8:AC10" si="7">ROUND(V8-AB8,0)</f>
        <v>22310</v>
      </c>
      <c r="AD8" s="504" t="str">
        <f>VLOOKUP(B8,'Salary -Dec-2024 (Full)'!$B$6:$AE$383,29,0)</f>
        <v>Bank</v>
      </c>
      <c r="AE8" s="504" t="str">
        <f>VLOOKUP(B8,'Salary -Dec-2024 (Full)'!$B$6:$AE$383,30,0)</f>
        <v>171.158.0035517</v>
      </c>
      <c r="AG8" s="61"/>
      <c r="AH8" s="183"/>
      <c r="AI8" s="319"/>
    </row>
    <row r="9" spans="1:35" s="47" customFormat="1" ht="24" customHeight="1">
      <c r="A9" s="253">
        <v>2</v>
      </c>
      <c r="B9" s="254" t="s">
        <v>1288</v>
      </c>
      <c r="C9" s="255" t="str">
        <f>VLOOKUP(B9,'Salary -Dec-2024 (Full)'!$B$6:$D$286,2,0)</f>
        <v>Md Khorshed Alam</v>
      </c>
      <c r="D9" s="278" t="str">
        <f>VLOOKUP(B9,'Salary -Dec-2024 (Full)'!$B$6:$D$286,3,0)</f>
        <v>Accounts Officer</v>
      </c>
      <c r="E9" s="256" t="str">
        <f>VLOOKUP(B9,'Salary -Dec-2024 (Full)'!$B$6:$AE$286,4,0)</f>
        <v>F&amp;A</v>
      </c>
      <c r="F9" s="475">
        <f>VLOOKUP(B9,'Salary -Dec-2024 (Full)'!$B$6:$AE$286,5,0)</f>
        <v>45397</v>
      </c>
      <c r="G9" s="257">
        <f>VLOOKUP(B9,'Salary -Dec-2024 (Full)'!$B$6:$AE$286,6,0)</f>
        <v>31</v>
      </c>
      <c r="H9" s="258">
        <f>VLOOKUP(B9,'Salary -Dec-2024 (Full)'!$B$6:$AE$286,7,0)</f>
        <v>0</v>
      </c>
      <c r="I9" s="257">
        <f t="shared" ref="I9:I10" si="8">G9-H9</f>
        <v>31</v>
      </c>
      <c r="J9" s="258">
        <f t="shared" ref="J9:J10" si="9">Q9/G9</f>
        <v>935.48387096774195</v>
      </c>
      <c r="K9" s="72">
        <f>VLOOKUP(B9,'Salary -Dec-2024 (Full)'!$B$6:$AE$286,10,0)</f>
        <v>29000</v>
      </c>
      <c r="L9" s="72">
        <f t="shared" ref="L9:L10" si="10">K9*60%</f>
        <v>17400</v>
      </c>
      <c r="M9" s="72">
        <f t="shared" ref="M9:M10" si="11">K9*30%</f>
        <v>8700</v>
      </c>
      <c r="N9" s="72">
        <f t="shared" ref="N9:N10" si="12">K9*6%</f>
        <v>1740</v>
      </c>
      <c r="O9" s="72">
        <f t="shared" ref="O9:O10" si="13">K9*4%</f>
        <v>1160</v>
      </c>
      <c r="P9" s="259"/>
      <c r="Q9" s="260">
        <f t="shared" ref="Q9:Q10" si="14">SUM(L9:P9)</f>
        <v>29000</v>
      </c>
      <c r="R9" s="188">
        <f>VLOOKUP(B9,'Salary -Dec-2024 (Full)'!$B$6:$AE$383,17,0)</f>
        <v>29000</v>
      </c>
      <c r="S9" s="192">
        <f>VLOOKUP(B9,'Salary -Dec-2024 (Full)'!$B$6:$AE$383,18,0)</f>
        <v>0</v>
      </c>
      <c r="T9" s="192">
        <f>VLOOKUP(B9,'Salary -Dec-2024 (Full)'!$B$6:$AE$383,19,0)</f>
        <v>0</v>
      </c>
      <c r="U9" s="337">
        <f>VLOOKUP(B9,'Salary -Dec-2024 (Full)'!$B$6:$AE$383,20,0)</f>
        <v>0</v>
      </c>
      <c r="V9" s="263">
        <f t="shared" ref="V9:V10" si="15">SUM(R9:U9)</f>
        <v>29000</v>
      </c>
      <c r="W9" s="192">
        <f>VLOOKUP(B9,'Salary -Dec-2024 (Full)'!$B$6:$AE$383,22,0)</f>
        <v>0</v>
      </c>
      <c r="X9" s="192">
        <f>VLOOKUP(B9,'Salary -Dec-2024 (Full)'!$B$6:$AE$383,23,0)</f>
        <v>0</v>
      </c>
      <c r="Y9" s="337">
        <f>VLOOKUP(B9,'Salary -Dec-2024 (Full)'!$B$6:$AE$383,24,0)</f>
        <v>0</v>
      </c>
      <c r="Z9" s="192">
        <f>VLOOKUP(B9,'Salary -Dec-2024 (Full)'!$B$6:$AE$383,25,0)</f>
        <v>0</v>
      </c>
      <c r="AA9" s="192">
        <f>VLOOKUP(B9,'Salary -Dec-2024 (Full)'!$B$6:$AE$383,26,0)</f>
        <v>0</v>
      </c>
      <c r="AB9" s="384">
        <f t="shared" ref="AB9:AB10" si="16">SUM(W9:AA9)</f>
        <v>0</v>
      </c>
      <c r="AC9" s="193">
        <f t="shared" si="7"/>
        <v>29000</v>
      </c>
      <c r="AD9" s="264" t="str">
        <f>VLOOKUP(B9,'Salary -Dec-2024 (Full)'!$B$6:$AE$383,29,0)</f>
        <v>Bank</v>
      </c>
      <c r="AE9" s="264" t="str">
        <f>VLOOKUP(B9,'Salary -Dec-2024 (Full)'!$B$6:$AE$383,30,0)</f>
        <v>163.103.0046521</v>
      </c>
      <c r="AG9" s="61"/>
      <c r="AH9" s="183"/>
      <c r="AI9" s="319"/>
    </row>
    <row r="10" spans="1:35" s="47" customFormat="1" ht="24" customHeight="1">
      <c r="A10" s="505">
        <v>3</v>
      </c>
      <c r="B10" s="518" t="s">
        <v>1290</v>
      </c>
      <c r="C10" s="487" t="str">
        <f>VLOOKUP(B10,'Salary -Dec-2024 (Full)'!$B$6:$D$286,2,0)</f>
        <v>Md Abdur Rahim</v>
      </c>
      <c r="D10" s="490" t="str">
        <f>VLOOKUP(B10,'Salary -Dec-2024 (Full)'!$B$6:$D$286,3,0)</f>
        <v>Accounts Officer</v>
      </c>
      <c r="E10" s="491" t="str">
        <f>VLOOKUP(B10,'Salary -Dec-2024 (Full)'!$B$6:$AE$286,4,0)</f>
        <v>F&amp;A</v>
      </c>
      <c r="F10" s="810">
        <f>VLOOKUP(B10,'Salary -Dec-2024 (Full)'!$B$6:$AE$286,5,0)</f>
        <v>45397</v>
      </c>
      <c r="G10" s="287">
        <f>VLOOKUP(B10,'Salary -Dec-2024 (Full)'!$B$6:$AE$286,6,0)</f>
        <v>31</v>
      </c>
      <c r="H10" s="492">
        <f>VLOOKUP(B10,'Salary -Dec-2024 (Full)'!$B$6:$AE$286,7,0)</f>
        <v>0</v>
      </c>
      <c r="I10" s="287">
        <f t="shared" si="8"/>
        <v>31</v>
      </c>
      <c r="J10" s="492">
        <f t="shared" si="9"/>
        <v>903.22580645161293</v>
      </c>
      <c r="K10" s="85">
        <f>VLOOKUP(B10,'Salary -Dec-2024 (Full)'!$B$6:$AE$286,10,0)</f>
        <v>28000</v>
      </c>
      <c r="L10" s="85">
        <f t="shared" si="10"/>
        <v>16800</v>
      </c>
      <c r="M10" s="85">
        <f t="shared" si="11"/>
        <v>8400</v>
      </c>
      <c r="N10" s="85">
        <f t="shared" si="12"/>
        <v>1680</v>
      </c>
      <c r="O10" s="85">
        <f t="shared" si="13"/>
        <v>1120</v>
      </c>
      <c r="P10" s="493"/>
      <c r="Q10" s="494">
        <f t="shared" si="14"/>
        <v>28000</v>
      </c>
      <c r="R10" s="811">
        <f>VLOOKUP(B10,'Salary -Dec-2024 (Full)'!$B$6:$AE$383,17,0)</f>
        <v>28000</v>
      </c>
      <c r="S10" s="395">
        <f>VLOOKUP(B10,'Salary -Dec-2024 (Full)'!$B$6:$AE$383,18,0)</f>
        <v>0</v>
      </c>
      <c r="T10" s="395">
        <f>VLOOKUP(B10,'Salary -Dec-2024 (Full)'!$B$6:$AE$383,19,0)</f>
        <v>0</v>
      </c>
      <c r="U10" s="396">
        <f>VLOOKUP(B10,'Salary -Dec-2024 (Full)'!$B$6:$AE$383,20,0)</f>
        <v>0</v>
      </c>
      <c r="V10" s="495">
        <f t="shared" si="15"/>
        <v>28000</v>
      </c>
      <c r="W10" s="395">
        <f>VLOOKUP(B10,'Salary -Dec-2024 (Full)'!$B$6:$AE$383,22,0)</f>
        <v>0</v>
      </c>
      <c r="X10" s="395">
        <f>VLOOKUP(B10,'Salary -Dec-2024 (Full)'!$B$6:$AE$383,23,0)</f>
        <v>0</v>
      </c>
      <c r="Y10" s="396">
        <f>VLOOKUP(B10,'Salary -Dec-2024 (Full)'!$B$6:$AE$383,24,0)</f>
        <v>0</v>
      </c>
      <c r="Z10" s="395">
        <f>VLOOKUP(B10,'Salary -Dec-2024 (Full)'!$B$6:$AE$383,25,0)</f>
        <v>0</v>
      </c>
      <c r="AA10" s="395">
        <f>VLOOKUP(B10,'Salary -Dec-2024 (Full)'!$B$6:$AE$383,26,0)</f>
        <v>0</v>
      </c>
      <c r="AB10" s="769">
        <f t="shared" si="16"/>
        <v>0</v>
      </c>
      <c r="AC10" s="770">
        <f t="shared" si="7"/>
        <v>28000</v>
      </c>
      <c r="AD10" s="506" t="str">
        <f>VLOOKUP(B10,'Salary -Dec-2024 (Full)'!$B$6:$AE$383,29,0)</f>
        <v>Cash</v>
      </c>
      <c r="AE10" s="506" t="str">
        <f>VLOOKUP(B10,'Salary -Dec-2024 (Full)'!$B$6:$AE$383,30,0)</f>
        <v>Resign</v>
      </c>
      <c r="AG10" s="61"/>
      <c r="AH10" s="183"/>
      <c r="AI10" s="319"/>
    </row>
    <row r="11" spans="1:35" s="47" customFormat="1" ht="24" customHeight="1">
      <c r="A11" s="1031"/>
      <c r="B11" s="1032"/>
      <c r="C11" s="1033"/>
      <c r="D11" s="1034"/>
      <c r="E11" s="1040"/>
      <c r="F11" s="1036"/>
      <c r="G11" s="1036"/>
      <c r="H11" s="1036"/>
      <c r="I11" s="1036"/>
      <c r="J11" s="1036"/>
      <c r="K11" s="1037">
        <f t="shared" ref="K11:AC11" si="17">SUM(K8:K10)</f>
        <v>80000</v>
      </c>
      <c r="L11" s="1037">
        <f t="shared" si="17"/>
        <v>48000</v>
      </c>
      <c r="M11" s="1037">
        <f t="shared" si="17"/>
        <v>24000</v>
      </c>
      <c r="N11" s="1037">
        <f t="shared" si="17"/>
        <v>4800</v>
      </c>
      <c r="O11" s="1037">
        <f t="shared" si="17"/>
        <v>3200</v>
      </c>
      <c r="P11" s="1037">
        <f t="shared" si="17"/>
        <v>0</v>
      </c>
      <c r="Q11" s="1037">
        <f t="shared" si="17"/>
        <v>80000</v>
      </c>
      <c r="R11" s="1037">
        <f t="shared" si="17"/>
        <v>80000</v>
      </c>
      <c r="S11" s="1037">
        <f t="shared" si="17"/>
        <v>0</v>
      </c>
      <c r="T11" s="1037">
        <f t="shared" si="17"/>
        <v>0</v>
      </c>
      <c r="U11" s="1037">
        <f t="shared" si="17"/>
        <v>0</v>
      </c>
      <c r="V11" s="1037">
        <f t="shared" si="17"/>
        <v>80000</v>
      </c>
      <c r="W11" s="1037">
        <f t="shared" si="17"/>
        <v>0</v>
      </c>
      <c r="X11" s="1037">
        <f t="shared" si="17"/>
        <v>0</v>
      </c>
      <c r="Y11" s="1037">
        <f t="shared" si="17"/>
        <v>690</v>
      </c>
      <c r="Z11" s="1037">
        <f t="shared" si="17"/>
        <v>0</v>
      </c>
      <c r="AA11" s="1037">
        <f t="shared" si="17"/>
        <v>0</v>
      </c>
      <c r="AB11" s="1037">
        <f t="shared" si="17"/>
        <v>690</v>
      </c>
      <c r="AC11" s="1037">
        <f t="shared" si="17"/>
        <v>79310</v>
      </c>
      <c r="AD11" s="1037"/>
      <c r="AE11" s="1038"/>
      <c r="AG11" s="61"/>
      <c r="AH11" s="183"/>
    </row>
    <row r="12" spans="1:35" s="47" customFormat="1" ht="24" customHeight="1">
      <c r="A12" s="116" t="s">
        <v>27</v>
      </c>
      <c r="B12" s="268"/>
      <c r="C12" s="268"/>
      <c r="D12" s="348"/>
      <c r="E12" s="268"/>
      <c r="F12" s="474"/>
      <c r="G12" s="268"/>
      <c r="H12" s="267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68"/>
      <c r="AD12" s="268"/>
      <c r="AE12" s="557"/>
      <c r="AG12" s="61"/>
      <c r="AH12" s="183"/>
      <c r="AI12" s="320"/>
    </row>
    <row r="13" spans="1:35" s="47" customFormat="1" ht="24" customHeight="1">
      <c r="A13" s="253">
        <v>1</v>
      </c>
      <c r="B13" s="254" t="s">
        <v>1174</v>
      </c>
      <c r="C13" s="255" t="str">
        <f>VLOOKUP(B13,'Salary -Dec-2024 (Full)'!$B$6:$D$383,2,0)</f>
        <v>Md. Tahsinur Rahman</v>
      </c>
      <c r="D13" s="278" t="str">
        <f>VLOOKUP(B13,'Salary -Dec-2024 (Full)'!$B$6:$D$383,3,0)</f>
        <v>HR Officer</v>
      </c>
      <c r="E13" s="256" t="str">
        <f>VLOOKUP(B13,'Salary -Dec-2024 (Full)'!$B$6:$AE$383,4,0)</f>
        <v>HR &amp; Admin</v>
      </c>
      <c r="F13" s="475">
        <f>VLOOKUP(B13,'Salary -Dec-2024 (Full)'!$B$6:$AE$383,5,0)</f>
        <v>45323</v>
      </c>
      <c r="G13" s="257">
        <f>VLOOKUP(B13,'Salary -Dec-2024 (Full)'!$B$6:$AE$286,6,0)</f>
        <v>31</v>
      </c>
      <c r="H13" s="258">
        <f>VLOOKUP(B13,'Salary -Dec-2024 (Full)'!$B$6:$AE$383,7,0)</f>
        <v>23</v>
      </c>
      <c r="I13" s="257">
        <f t="shared" ref="I13" si="18">G13-H13</f>
        <v>8</v>
      </c>
      <c r="J13" s="258">
        <f t="shared" ref="J13" si="19">Q13/G13</f>
        <v>645.16129032258061</v>
      </c>
      <c r="K13" s="72">
        <f>VLOOKUP(B13,'Salary -Dec-2024 (Full)'!$B$6:$AE$383,10,0)</f>
        <v>20000</v>
      </c>
      <c r="L13" s="72">
        <f t="shared" ref="L13" si="20">K13*60%</f>
        <v>12000</v>
      </c>
      <c r="M13" s="72">
        <f t="shared" ref="M13" si="21">K13*30%</f>
        <v>6000</v>
      </c>
      <c r="N13" s="72">
        <f t="shared" ref="N13" si="22">K13*6%</f>
        <v>1200</v>
      </c>
      <c r="O13" s="72">
        <f t="shared" ref="O13" si="23">K13*4%</f>
        <v>800</v>
      </c>
      <c r="P13" s="259">
        <v>0</v>
      </c>
      <c r="Q13" s="260">
        <f>SUM(L13:P13)</f>
        <v>20000</v>
      </c>
      <c r="R13" s="188">
        <f>VLOOKUP(B13,'Salary -Dec-2024 (Full)'!$B$6:$AE$383,17,0)</f>
        <v>5161</v>
      </c>
      <c r="S13" s="192">
        <f>VLOOKUP(B13,'Salary -Dec-2024 (Full)'!$B$6:$AE$383,18,0)</f>
        <v>0</v>
      </c>
      <c r="T13" s="192">
        <f>VLOOKUP(B13,'Salary -Dec-2024 (Full)'!$B$6:$AE$383,19,0)</f>
        <v>0</v>
      </c>
      <c r="U13" s="337">
        <f>VLOOKUP(B13,'Salary -Dec-2024 (Full)'!$B$6:$AE$383,20,0)</f>
        <v>0</v>
      </c>
      <c r="V13" s="263">
        <f>SUM(R13:U13)</f>
        <v>5161</v>
      </c>
      <c r="W13" s="192">
        <f>VLOOKUP(B13,'Salary -Dec-2024 (Full)'!$B$6:$AE$383,22,0)</f>
        <v>0</v>
      </c>
      <c r="X13" s="192">
        <f>VLOOKUP(B13,'Salary -Dec-2024 (Full)'!$B$6:$AE$383,23,0)</f>
        <v>375</v>
      </c>
      <c r="Y13" s="337">
        <f>VLOOKUP(B13,'Salary -Dec-2024 (Full)'!$B$6:$AE$383,24,0)</f>
        <v>0</v>
      </c>
      <c r="Z13" s="192">
        <f>VLOOKUP(B13,'Salary -Dec-2024 (Full)'!$B$6:$AE$383,25,0)</f>
        <v>0</v>
      </c>
      <c r="AA13" s="192">
        <f>VLOOKUP(B13,'Salary -Dec-2024 (Full)'!$B$6:$AE$383,26,0)</f>
        <v>0</v>
      </c>
      <c r="AB13" s="384">
        <f>SUM(W13:AA13)</f>
        <v>375</v>
      </c>
      <c r="AC13" s="193">
        <f>ROUND(V13-AB13,0)</f>
        <v>4786</v>
      </c>
      <c r="AD13" s="60" t="str">
        <f>VLOOKUP(B13,'Salary -Dec-2024 (Full)'!$B$6:$AE$383,29,0)</f>
        <v>Bank</v>
      </c>
      <c r="AE13" s="60" t="str">
        <f>VLOOKUP(B13,'Salary -Dec-2024 (Full)'!$B$6:$AE$383,30,0)</f>
        <v>125.157.0043468</v>
      </c>
      <c r="AG13" s="61"/>
      <c r="AH13" s="183"/>
      <c r="AI13" s="319"/>
    </row>
    <row r="14" spans="1:35" s="47" customFormat="1" ht="24" customHeight="1">
      <c r="A14" s="253">
        <v>2</v>
      </c>
      <c r="B14" s="254" t="s">
        <v>72</v>
      </c>
      <c r="C14" s="255" t="str">
        <f>VLOOKUP(B14,'Salary -Dec-2024 (Full)'!$B$6:$D$383,2,0)</f>
        <v>Md. Sohel Rana</v>
      </c>
      <c r="D14" s="278" t="str">
        <f>VLOOKUP(B14,'Salary -Dec-2024 (Full)'!$B$6:$D$383,3,0)</f>
        <v>Office Assistant</v>
      </c>
      <c r="E14" s="256" t="str">
        <f>VLOOKUP(B14,'Salary -Dec-2024 (Full)'!$B$6:$AE$383,4,0)</f>
        <v>Admin</v>
      </c>
      <c r="F14" s="475">
        <f>VLOOKUP(B14,'Salary -Dec-2024 (Full)'!$B$6:$AE$383,5,0)</f>
        <v>44593</v>
      </c>
      <c r="G14" s="257">
        <f>VLOOKUP(B14,'Salary -Dec-2024 (Full)'!$B$6:$AE$286,6,0)</f>
        <v>31</v>
      </c>
      <c r="H14" s="258">
        <f>VLOOKUP(B14,'Salary -Dec-2024 (Full)'!$B$6:$AE$383,7,0)</f>
        <v>0</v>
      </c>
      <c r="I14" s="257">
        <f t="shared" ref="I14" si="24">G14-H14</f>
        <v>31</v>
      </c>
      <c r="J14" s="258">
        <f t="shared" ref="J14" si="25">Q14/G14</f>
        <v>741.93548387096769</v>
      </c>
      <c r="K14" s="72">
        <f>VLOOKUP(B14,'Salary -Dec-2024 (Full)'!$B$6:$AE$383,10,0)</f>
        <v>23000</v>
      </c>
      <c r="L14" s="72">
        <f t="shared" ref="L14" si="26">K14*60%</f>
        <v>13800</v>
      </c>
      <c r="M14" s="72">
        <f t="shared" ref="M14" si="27">K14*30%</f>
        <v>6900</v>
      </c>
      <c r="N14" s="72">
        <f t="shared" ref="N14" si="28">K14*6%</f>
        <v>1380</v>
      </c>
      <c r="O14" s="72">
        <f t="shared" ref="O14" si="29">K14*4%</f>
        <v>920</v>
      </c>
      <c r="P14" s="259"/>
      <c r="Q14" s="260">
        <f>SUM(L14:P14)</f>
        <v>23000</v>
      </c>
      <c r="R14" s="188">
        <f>VLOOKUP(B14,'Salary -Dec-2024 (Full)'!$B$6:$AE$383,17,0)</f>
        <v>23000</v>
      </c>
      <c r="S14" s="192">
        <f>VLOOKUP(B14,'Salary -Dec-2024 (Full)'!$B$6:$AE$383,18,0)</f>
        <v>0</v>
      </c>
      <c r="T14" s="192">
        <f>VLOOKUP(B14,'Salary -Dec-2024 (Full)'!$B$6:$AE$383,19,0)</f>
        <v>0</v>
      </c>
      <c r="U14" s="337">
        <f>VLOOKUP(B14,'Salary -Dec-2024 (Full)'!$B$6:$AE$383,20,0)</f>
        <v>0</v>
      </c>
      <c r="V14" s="263">
        <f>SUM(R14:U14)</f>
        <v>23000</v>
      </c>
      <c r="W14" s="192">
        <f>VLOOKUP(B14,'Salary -Dec-2024 (Full)'!$B$6:$AE$383,22,0)</f>
        <v>0</v>
      </c>
      <c r="X14" s="192">
        <f>VLOOKUP(B14,'Salary -Dec-2024 (Full)'!$B$6:$AE$383,23,0)</f>
        <v>0</v>
      </c>
      <c r="Y14" s="337">
        <f>VLOOKUP(B14,'Salary -Dec-2024 (Full)'!$B$6:$AE$383,24,0)</f>
        <v>690</v>
      </c>
      <c r="Z14" s="192">
        <f>VLOOKUP(B14,'Salary -Dec-2024 (Full)'!$B$6:$AE$383,25,0)</f>
        <v>0</v>
      </c>
      <c r="AA14" s="192">
        <f>VLOOKUP(B14,'Salary -Dec-2024 (Full)'!$B$6:$AE$383,26,0)</f>
        <v>0</v>
      </c>
      <c r="AB14" s="384">
        <f>SUM(W14:AA14)</f>
        <v>690</v>
      </c>
      <c r="AC14" s="193">
        <f>ROUND(V14-AB14,0)</f>
        <v>22310</v>
      </c>
      <c r="AD14" s="264" t="str">
        <f>VLOOKUP(B14,'Salary -Dec-2024 (Full)'!$B$6:$AE$383,29,0)</f>
        <v>Cash</v>
      </c>
      <c r="AE14" s="264" t="str">
        <f>VLOOKUP(B14,'Salary -Dec-2024 (Full)'!$B$6:$AE$383,30,0)</f>
        <v>Resign</v>
      </c>
      <c r="AG14" s="61"/>
      <c r="AH14" s="183"/>
      <c r="AI14" s="319"/>
    </row>
    <row r="15" spans="1:35" s="47" customFormat="1" ht="24" customHeight="1">
      <c r="A15" s="253">
        <v>3</v>
      </c>
      <c r="B15" s="254" t="s">
        <v>81</v>
      </c>
      <c r="C15" s="255" t="str">
        <f>VLOOKUP(B15,'Salary -Dec-2024 (Full)'!$B$6:$D$383,2,0)</f>
        <v>Md. Saheb Ali</v>
      </c>
      <c r="D15" s="278" t="str">
        <f>VLOOKUP(B15,'Salary -Dec-2024 (Full)'!$B$6:$D$383,3,0)</f>
        <v>Security Incharge</v>
      </c>
      <c r="E15" s="256" t="str">
        <f>VLOOKUP(B15,'Salary -Dec-2024 (Full)'!$B$6:$AE$383,4,0)</f>
        <v>Admin</v>
      </c>
      <c r="F15" s="475">
        <f>VLOOKUP(B15,'Salary -Dec-2024 (Full)'!$B$6:$AE$383,5,0)</f>
        <v>44849</v>
      </c>
      <c r="G15" s="257">
        <f>VLOOKUP(B15,'Salary -Dec-2024 (Full)'!$B$6:$AE$286,6,0)</f>
        <v>31</v>
      </c>
      <c r="H15" s="258">
        <f>VLOOKUP(B15,'Salary -Dec-2024 (Full)'!$B$6:$AE$383,7,0)</f>
        <v>0</v>
      </c>
      <c r="I15" s="257">
        <f t="shared" ref="I15" si="30">G15-H15</f>
        <v>31</v>
      </c>
      <c r="J15" s="258">
        <f t="shared" ref="J15" si="31">Q15/G15</f>
        <v>580.64516129032256</v>
      </c>
      <c r="K15" s="72">
        <f>VLOOKUP(B15,'Salary -Dec-2024 (Full)'!$B$6:$AE$383,10,0)</f>
        <v>18000</v>
      </c>
      <c r="L15" s="72">
        <f t="shared" ref="L15" si="32">K15*60%</f>
        <v>10800</v>
      </c>
      <c r="M15" s="72">
        <f t="shared" ref="M15" si="33">K15*30%</f>
        <v>5400</v>
      </c>
      <c r="N15" s="72">
        <f t="shared" ref="N15" si="34">K15*6%</f>
        <v>1080</v>
      </c>
      <c r="O15" s="72">
        <f t="shared" ref="O15" si="35">K15*4%</f>
        <v>720</v>
      </c>
      <c r="P15" s="259"/>
      <c r="Q15" s="260">
        <f>SUM(L15:P15)</f>
        <v>18000</v>
      </c>
      <c r="R15" s="188">
        <f>VLOOKUP(B15,'Salary -Dec-2024 (Full)'!$B$6:$AE$383,17,0)</f>
        <v>18000</v>
      </c>
      <c r="S15" s="192">
        <f>VLOOKUP(B15,'Salary -Dec-2024 (Full)'!$B$6:$AE$383,18,0)</f>
        <v>0</v>
      </c>
      <c r="T15" s="192">
        <f>VLOOKUP(B15,'Salary -Dec-2024 (Full)'!$B$6:$AE$383,19,0)</f>
        <v>0</v>
      </c>
      <c r="U15" s="337">
        <f>VLOOKUP(B15,'Salary -Dec-2024 (Full)'!$B$6:$AE$383,20,0)</f>
        <v>0</v>
      </c>
      <c r="V15" s="263">
        <f>SUM(R15:U15)</f>
        <v>18000</v>
      </c>
      <c r="W15" s="192">
        <f>VLOOKUP(B15,'Salary -Dec-2024 (Full)'!$B$6:$AE$383,22,0)</f>
        <v>0</v>
      </c>
      <c r="X15" s="192">
        <f>VLOOKUP(B15,'Salary -Dec-2024 (Full)'!$B$6:$AE$383,23,0)</f>
        <v>0</v>
      </c>
      <c r="Y15" s="337">
        <f>VLOOKUP(B15,'Salary -Dec-2024 (Full)'!$B$6:$AE$383,24,0)</f>
        <v>540</v>
      </c>
      <c r="Z15" s="192">
        <f>VLOOKUP(B15,'Salary -Dec-2024 (Full)'!$B$6:$AE$383,25,0)</f>
        <v>0</v>
      </c>
      <c r="AA15" s="192">
        <f>VLOOKUP(B15,'Salary -Dec-2024 (Full)'!$B$6:$AE$383,26,0)</f>
        <v>0</v>
      </c>
      <c r="AB15" s="384">
        <f>SUM(W15:AA15)</f>
        <v>540</v>
      </c>
      <c r="AC15" s="193">
        <f>ROUND(V15-AB15,0)</f>
        <v>17460</v>
      </c>
      <c r="AD15" s="264" t="str">
        <f>VLOOKUP(B15,'Salary -Dec-2024 (Full)'!$B$6:$AE$383,29,0)</f>
        <v>Bank</v>
      </c>
      <c r="AE15" s="264" t="str">
        <f>VLOOKUP(B15,'Salary -Dec-2024 (Full)'!$B$6:$AE$383,30,0)</f>
        <v>172.158.0055537</v>
      </c>
      <c r="AG15" s="61"/>
      <c r="AH15" s="183"/>
      <c r="AI15" s="319"/>
    </row>
    <row r="16" spans="1:35" s="47" customFormat="1" ht="24" customHeight="1">
      <c r="A16" s="253">
        <v>4</v>
      </c>
      <c r="B16" s="254" t="s">
        <v>1361</v>
      </c>
      <c r="C16" s="255" t="str">
        <f>VLOOKUP(B16,'Salary -Dec-2024 (Full)'!$B$6:$D$383,2,0)</f>
        <v>Md Bilash Hossain</v>
      </c>
      <c r="D16" s="278" t="str">
        <f>VLOOKUP(B16,'Salary -Dec-2024 (Full)'!$B$6:$D$383,3,0)</f>
        <v>Office Assistant</v>
      </c>
      <c r="E16" s="256" t="str">
        <f>VLOOKUP(B16,'Salary -Dec-2024 (Full)'!$B$6:$AE$383,4,0)</f>
        <v>Admin</v>
      </c>
      <c r="F16" s="475">
        <f>VLOOKUP(B16,'Salary -Dec-2024 (Full)'!$B$6:$AE$383,5,0)</f>
        <v>45467</v>
      </c>
      <c r="G16" s="257">
        <f>VLOOKUP(B16,'Salary -Dec-2024 (Full)'!$B$6:$AE$286,6,0)</f>
        <v>31</v>
      </c>
      <c r="H16" s="258">
        <f>VLOOKUP(B16,'Salary -Dec-2024 (Full)'!$B$6:$AE$383,7,0)</f>
        <v>0</v>
      </c>
      <c r="I16" s="257">
        <f t="shared" ref="I16" si="36">G16-H16</f>
        <v>31</v>
      </c>
      <c r="J16" s="258">
        <f t="shared" ref="J16" si="37">Q16/G16</f>
        <v>516.12903225806451</v>
      </c>
      <c r="K16" s="72">
        <f>VLOOKUP(B16,'Salary -Dec-2024 (Full)'!$B$6:$AE$383,10,0)</f>
        <v>16000</v>
      </c>
      <c r="L16" s="72">
        <f t="shared" ref="L16" si="38">K16*60%</f>
        <v>9600</v>
      </c>
      <c r="M16" s="72">
        <f t="shared" ref="M16" si="39">K16*30%</f>
        <v>4800</v>
      </c>
      <c r="N16" s="72">
        <f t="shared" ref="N16" si="40">K16*6%</f>
        <v>960</v>
      </c>
      <c r="O16" s="72">
        <f t="shared" ref="O16" si="41">K16*4%</f>
        <v>640</v>
      </c>
      <c r="P16" s="259">
        <v>0</v>
      </c>
      <c r="Q16" s="260">
        <f>SUM(L16:P16)</f>
        <v>16000</v>
      </c>
      <c r="R16" s="188">
        <f>VLOOKUP(B16,'Salary -Dec-2024 (Full)'!$B$6:$AE$383,17,0)</f>
        <v>16000</v>
      </c>
      <c r="S16" s="192">
        <f>VLOOKUP(B16,'Salary -Dec-2024 (Full)'!$B$6:$AE$383,18,0)</f>
        <v>0</v>
      </c>
      <c r="T16" s="192">
        <f>VLOOKUP(B16,'Salary -Dec-2024 (Full)'!$B$6:$AE$383,19,0)</f>
        <v>3000</v>
      </c>
      <c r="U16" s="337">
        <f>VLOOKUP(B16,'Salary -Dec-2024 (Full)'!$B$6:$AE$383,20,0)</f>
        <v>0</v>
      </c>
      <c r="V16" s="263">
        <f>SUM(R16:U16)</f>
        <v>19000</v>
      </c>
      <c r="W16" s="192">
        <f>VLOOKUP(B16,'Salary -Dec-2024 (Full)'!$B$6:$AE$383,22,0)</f>
        <v>0</v>
      </c>
      <c r="X16" s="192">
        <f>VLOOKUP(B16,'Salary -Dec-2024 (Full)'!$B$6:$AE$383,23,0)</f>
        <v>0</v>
      </c>
      <c r="Y16" s="337">
        <f>VLOOKUP(B16,'Salary -Dec-2024 (Full)'!$B$6:$AE$383,24,0)</f>
        <v>0</v>
      </c>
      <c r="Z16" s="192">
        <f>VLOOKUP(B16,'Salary -Dec-2024 (Full)'!$B$6:$AE$383,25,0)</f>
        <v>0</v>
      </c>
      <c r="AA16" s="192">
        <f>VLOOKUP(B16,'Salary -Dec-2024 (Full)'!$B$6:$AE$383,26,0)</f>
        <v>0</v>
      </c>
      <c r="AB16" s="384">
        <f t="shared" ref="AB16:AB17" si="42">SUM(W16:AA16)</f>
        <v>0</v>
      </c>
      <c r="AC16" s="193">
        <f t="shared" ref="AC16" si="43">ROUND(V16-AB16,0)</f>
        <v>19000</v>
      </c>
      <c r="AD16" s="264" t="str">
        <f>VLOOKUP(B16,'Salary -Dec-2024 (Full)'!$B$6:$AE$383,29,0)</f>
        <v>Bank</v>
      </c>
      <c r="AE16" s="264" t="str">
        <f>VLOOKUP(B16,'Salary -Dec-2024 (Full)'!$B$6:$AE$383,30,0)</f>
        <v>103.103.1404327</v>
      </c>
      <c r="AG16" s="61"/>
      <c r="AH16" s="183"/>
      <c r="AI16" s="319"/>
    </row>
    <row r="17" spans="1:35" s="47" customFormat="1" ht="24" customHeight="1">
      <c r="A17" s="253">
        <v>5</v>
      </c>
      <c r="B17" s="254" t="s">
        <v>1449</v>
      </c>
      <c r="C17" s="255" t="str">
        <f>VLOOKUP(B17,'Salary -Dec-2024 (Full)'!$B$6:$D$383,2,0)</f>
        <v>Khan Sadat Anwar</v>
      </c>
      <c r="D17" s="278" t="str">
        <f>VLOOKUP(B17,'Salary -Dec-2024 (Full)'!$B$6:$D$383,3,0)</f>
        <v>Consultant</v>
      </c>
      <c r="E17" s="256" t="str">
        <f>VLOOKUP(B17,'Salary -Dec-2024 (Full)'!$B$6:$AE$383,4,0)</f>
        <v>HR &amp; Admin</v>
      </c>
      <c r="F17" s="475">
        <f>VLOOKUP(B17,'Salary -Dec-2024 (Full)'!$B$6:$AE$383,5,0)</f>
        <v>45477</v>
      </c>
      <c r="G17" s="257">
        <f>VLOOKUP(B17,'Salary -Dec-2024 (Full)'!$B$6:$AE$286,6,0)</f>
        <v>31</v>
      </c>
      <c r="H17" s="258">
        <f>VLOOKUP(B17,'Salary -Dec-2024 (Full)'!$B$6:$AE$383,7,0)</f>
        <v>0</v>
      </c>
      <c r="I17" s="257">
        <f t="shared" ref="I17" si="44">G17-H17</f>
        <v>31</v>
      </c>
      <c r="J17" s="258">
        <f t="shared" ref="J17" si="45">Q17/G17</f>
        <v>4838.7096774193551</v>
      </c>
      <c r="K17" s="72">
        <f>VLOOKUP(B17,'Salary -Dec-2024 (Full)'!$B$6:$AE$383,10,0)</f>
        <v>150000</v>
      </c>
      <c r="L17" s="72">
        <f t="shared" ref="L17" si="46">K17*60%</f>
        <v>90000</v>
      </c>
      <c r="M17" s="72">
        <f t="shared" ref="M17" si="47">K17*30%</f>
        <v>45000</v>
      </c>
      <c r="N17" s="72">
        <f t="shared" ref="N17" si="48">K17*6%</f>
        <v>9000</v>
      </c>
      <c r="O17" s="72">
        <f t="shared" ref="O17" si="49">K17*4%</f>
        <v>6000</v>
      </c>
      <c r="P17" s="259">
        <v>0</v>
      </c>
      <c r="Q17" s="260">
        <f>SUM(L17:P17)</f>
        <v>150000</v>
      </c>
      <c r="R17" s="188">
        <f>VLOOKUP(B17,'Salary -Dec-2024 (Full)'!$B$6:$AE$383,17,0)</f>
        <v>150000</v>
      </c>
      <c r="S17" s="192">
        <f>VLOOKUP(B17,'Salary -Dec-2024 (Full)'!$B$6:$AE$383,18,0)</f>
        <v>0</v>
      </c>
      <c r="T17" s="192">
        <f>VLOOKUP(B17,'Salary -Dec-2024 (Full)'!$B$6:$AE$383,19,0)</f>
        <v>0</v>
      </c>
      <c r="U17" s="337">
        <f>VLOOKUP(B17,'Salary -Dec-2024 (Full)'!$B$6:$AE$383,20,0)</f>
        <v>0</v>
      </c>
      <c r="V17" s="263">
        <f>SUM(R17:U17)</f>
        <v>150000</v>
      </c>
      <c r="W17" s="192">
        <f>VLOOKUP(B17,'Salary -Dec-2024 (Full)'!$B$6:$AE$383,22,0)</f>
        <v>10625.571428571429</v>
      </c>
      <c r="X17" s="192">
        <f>VLOOKUP(B17,'Salary -Dec-2024 (Full)'!$B$6:$AE$383,23,0)</f>
        <v>0</v>
      </c>
      <c r="Y17" s="337">
        <f>VLOOKUP(B17,'Salary -Dec-2024 (Full)'!$B$6:$AE$383,24,0)</f>
        <v>0</v>
      </c>
      <c r="Z17" s="192">
        <f>VLOOKUP(B17,'Salary -Dec-2024 (Full)'!$B$6:$AE$383,25,0)</f>
        <v>0</v>
      </c>
      <c r="AA17" s="192">
        <f>VLOOKUP(B17,'Salary -Dec-2024 (Full)'!$B$6:$AE$383,26,0)</f>
        <v>0</v>
      </c>
      <c r="AB17" s="384">
        <f t="shared" si="42"/>
        <v>10625.571428571429</v>
      </c>
      <c r="AC17" s="193">
        <f t="shared" ref="AC17" si="50">ROUND(V17-AB17,0)</f>
        <v>139374</v>
      </c>
      <c r="AD17" s="264" t="str">
        <f>VLOOKUP(B17,'Salary -Dec-2024 (Full)'!$B$6:$AE$383,29,0)</f>
        <v>Bank</v>
      </c>
      <c r="AE17" s="264" t="str">
        <f>VLOOKUP(B17,'Salary -Dec-2024 (Full)'!$B$6:$AE$383,30,0)</f>
        <v>103.103.1404348</v>
      </c>
      <c r="AG17" s="61"/>
      <c r="AH17" s="183"/>
      <c r="AI17" s="319"/>
    </row>
    <row r="18" spans="1:35" s="61" customFormat="1" ht="24" customHeight="1">
      <c r="A18" s="1031" t="s">
        <v>67</v>
      </c>
      <c r="B18" s="1032"/>
      <c r="C18" s="1033"/>
      <c r="D18" s="1034"/>
      <c r="E18" s="1040"/>
      <c r="F18" s="1091"/>
      <c r="G18" s="1040"/>
      <c r="H18" s="1040"/>
      <c r="I18" s="1040"/>
      <c r="J18" s="1040"/>
      <c r="K18" s="1037">
        <f>SUM(K13:K17)</f>
        <v>227000</v>
      </c>
      <c r="L18" s="1037">
        <f t="shared" ref="L18:AC18" si="51">SUM(L13:L17)</f>
        <v>136200</v>
      </c>
      <c r="M18" s="1037">
        <f t="shared" si="51"/>
        <v>68100</v>
      </c>
      <c r="N18" s="1037">
        <f t="shared" si="51"/>
        <v>13620</v>
      </c>
      <c r="O18" s="1037">
        <f t="shared" si="51"/>
        <v>9080</v>
      </c>
      <c r="P18" s="1037">
        <f t="shared" si="51"/>
        <v>0</v>
      </c>
      <c r="Q18" s="1037">
        <f t="shared" si="51"/>
        <v>227000</v>
      </c>
      <c r="R18" s="1037">
        <f t="shared" si="51"/>
        <v>212161</v>
      </c>
      <c r="S18" s="1037">
        <f t="shared" si="51"/>
        <v>0</v>
      </c>
      <c r="T18" s="1037">
        <f t="shared" si="51"/>
        <v>3000</v>
      </c>
      <c r="U18" s="1037">
        <f t="shared" si="51"/>
        <v>0</v>
      </c>
      <c r="V18" s="1037">
        <f t="shared" si="51"/>
        <v>215161</v>
      </c>
      <c r="W18" s="1037">
        <f t="shared" si="51"/>
        <v>10625.571428571429</v>
      </c>
      <c r="X18" s="1037">
        <f t="shared" si="51"/>
        <v>375</v>
      </c>
      <c r="Y18" s="1037">
        <f t="shared" si="51"/>
        <v>1230</v>
      </c>
      <c r="Z18" s="1037">
        <f t="shared" si="51"/>
        <v>0</v>
      </c>
      <c r="AA18" s="1037">
        <f t="shared" si="51"/>
        <v>0</v>
      </c>
      <c r="AB18" s="1037">
        <f t="shared" si="51"/>
        <v>12230.571428571429</v>
      </c>
      <c r="AC18" s="1037">
        <f t="shared" si="51"/>
        <v>202930</v>
      </c>
      <c r="AD18" s="1038"/>
      <c r="AE18" s="1038"/>
      <c r="AH18" s="183"/>
      <c r="AI18" s="320"/>
    </row>
    <row r="19" spans="1:35" s="47" customFormat="1" ht="24" customHeight="1">
      <c r="A19" s="89" t="s">
        <v>89</v>
      </c>
      <c r="B19" s="119"/>
      <c r="C19" s="119"/>
      <c r="D19" s="489"/>
      <c r="E19" s="119"/>
      <c r="F19" s="119"/>
      <c r="G19" s="119"/>
      <c r="H19" s="284"/>
      <c r="I19" s="119"/>
      <c r="J19" s="119"/>
      <c r="K19" s="119"/>
      <c r="L19" s="119"/>
      <c r="M19" s="119"/>
      <c r="N19" s="119"/>
      <c r="O19" s="119"/>
      <c r="P19" s="119"/>
      <c r="Q19" s="119"/>
      <c r="R19" s="268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793"/>
      <c r="AF19" s="61"/>
      <c r="AG19" s="61"/>
      <c r="AH19" s="183"/>
      <c r="AI19" s="320"/>
    </row>
    <row r="20" spans="1:35" s="47" customFormat="1" ht="24" customHeight="1">
      <c r="A20" s="501">
        <v>1</v>
      </c>
      <c r="B20" s="502" t="s">
        <v>257</v>
      </c>
      <c r="C20" s="329" t="str">
        <f>VLOOKUP(B20,'Salary -Dec-2024 (Full)'!$B$6:$D$383,2,0)</f>
        <v>Md. Sabbir Rahman</v>
      </c>
      <c r="D20" s="330" t="str">
        <f>VLOOKUP(B20,'Salary -Dec-2024 (Full)'!$B$6:$D$383,3,0)</f>
        <v>Manager</v>
      </c>
      <c r="E20" s="331" t="str">
        <f>VLOOKUP(B20,'Salary -Dec-2024 (Full)'!$B$6:$AE$383,4,0)</f>
        <v>Int. Business</v>
      </c>
      <c r="F20" s="503">
        <f>VLOOKUP(B20,'Salary -Dec-2024 (Full)'!$B$6:$AE$383,5,0)</f>
        <v>43862</v>
      </c>
      <c r="G20" s="286">
        <f>VLOOKUP(B20,'Salary -Dec-2024 (Full)'!$B$6:$AE$286,6,0)</f>
        <v>31</v>
      </c>
      <c r="H20" s="332">
        <f>VLOOKUP(B20,'Salary -Dec-2024 (Full)'!$B$6:$AE$383,7,0)</f>
        <v>0</v>
      </c>
      <c r="I20" s="286">
        <f t="shared" ref="I20" si="52">G20-H20</f>
        <v>31</v>
      </c>
      <c r="J20" s="332">
        <f t="shared" ref="J20" si="53">Q20/G20</f>
        <v>2419.3548387096776</v>
      </c>
      <c r="K20" s="58">
        <f>VLOOKUP(B20,'Salary -Dec-2024 (Full)'!$B$6:$AE$383,10,0)</f>
        <v>75000</v>
      </c>
      <c r="L20" s="58">
        <f t="shared" ref="L20" si="54">K20*60%</f>
        <v>45000</v>
      </c>
      <c r="M20" s="58">
        <f t="shared" ref="M20" si="55">K20*30%</f>
        <v>22500</v>
      </c>
      <c r="N20" s="58">
        <f t="shared" ref="N20" si="56">K20*6%</f>
        <v>4500</v>
      </c>
      <c r="O20" s="58">
        <f t="shared" ref="O20" si="57">K20*4%</f>
        <v>3000</v>
      </c>
      <c r="P20" s="333"/>
      <c r="Q20" s="334">
        <f t="shared" ref="Q20" si="58">SUM(L20:P20)</f>
        <v>75000</v>
      </c>
      <c r="R20" s="188">
        <f>VLOOKUP(B20,'Salary -Dec-2024 (Full)'!$B$6:$AE$383,17,0)</f>
        <v>75000</v>
      </c>
      <c r="S20" s="58">
        <f>VLOOKUP(B20,'Salary -Dec-2024 (Full)'!$B$6:$AE$383,18,0)</f>
        <v>0</v>
      </c>
      <c r="T20" s="58">
        <f>VLOOKUP(B20,'Salary -Dec-2024 (Full)'!$B$6:$AE$383,19,0)</f>
        <v>0</v>
      </c>
      <c r="U20" s="393">
        <f>VLOOKUP(B20,'Salary -Dec-2024 (Full)'!$B$6:$AE$383,20,0)</f>
        <v>0</v>
      </c>
      <c r="V20" s="335">
        <f>SUM(R20:U20)</f>
        <v>75000</v>
      </c>
      <c r="W20" s="58">
        <f>VLOOKUP(B20,'Salary -Dec-2024 (Full)'!$B$6:$AE$383,22,0)</f>
        <v>517</v>
      </c>
      <c r="X20" s="58">
        <f>VLOOKUP(B20,'Salary -Dec-2024 (Full)'!$B$6:$AE$383,23,0)</f>
        <v>1875</v>
      </c>
      <c r="Y20" s="393">
        <f>VLOOKUP(B20,'Salary -Dec-2024 (Full)'!$B$6:$AE$383,24,0)</f>
        <v>2250</v>
      </c>
      <c r="Z20" s="58">
        <f>VLOOKUP(B20,'Salary -Dec-2024 (Full)'!$B$6:$AE$383,25,0)</f>
        <v>0</v>
      </c>
      <c r="AA20" s="58">
        <f>VLOOKUP(B20,'Salary -Dec-2024 (Full)'!$B$6:$AE$383,26,0)</f>
        <v>0</v>
      </c>
      <c r="AB20" s="394">
        <f t="shared" ref="AB20" si="59">SUM(W20:AA20)</f>
        <v>4642</v>
      </c>
      <c r="AC20" s="59">
        <f t="shared" ref="AC20" si="60">ROUND(V20-AB20,0)</f>
        <v>70358</v>
      </c>
      <c r="AD20" s="60" t="str">
        <f>VLOOKUP(B20,'Salary -Dec-2024 (Full)'!$B$6:$AE$383,29,0)</f>
        <v>Bank</v>
      </c>
      <c r="AE20" s="60" t="str">
        <f>VLOOKUP(B20,'Salary -Dec-2024 (Full)'!$B$6:$AE$2853,30,0)</f>
        <v>141.105.0029903</v>
      </c>
      <c r="AG20" s="61"/>
      <c r="AH20" s="183"/>
      <c r="AI20" s="319"/>
    </row>
    <row r="21" spans="1:35" s="47" customFormat="1" ht="24" customHeight="1">
      <c r="A21" s="253">
        <v>2</v>
      </c>
      <c r="B21" s="254" t="s">
        <v>1166</v>
      </c>
      <c r="C21" s="255" t="str">
        <f>VLOOKUP(B21,'Salary -Dec-2024 (Full)'!$B$6:$D$383,2,0)</f>
        <v>Md Asaduzzaman Sagor</v>
      </c>
      <c r="D21" s="278" t="str">
        <f>VLOOKUP(B21,'Salary -Dec-2024 (Full)'!$B$6:$D$383,3,0)</f>
        <v>Jr. Engineer</v>
      </c>
      <c r="E21" s="256" t="str">
        <f>VLOOKUP(B21,'Salary -Dec-2024 (Full)'!$B$6:$AE$383,4,0)</f>
        <v>R &amp; D</v>
      </c>
      <c r="F21" s="475">
        <f>VLOOKUP(B21,'Salary -Dec-2024 (Full)'!$B$6:$AE$383,5,0)</f>
        <v>45337</v>
      </c>
      <c r="G21" s="257">
        <f>VLOOKUP(B21,'Salary -Dec-2024 (Full)'!$B$6:$AE$286,6,0)</f>
        <v>31</v>
      </c>
      <c r="H21" s="258">
        <f>VLOOKUP(B21,'Salary -Dec-2024 (Full)'!$B$6:$AE$383,7,0)</f>
        <v>0</v>
      </c>
      <c r="I21" s="257">
        <f t="shared" ref="I21" si="61">G21-H21</f>
        <v>31</v>
      </c>
      <c r="J21" s="258">
        <f t="shared" ref="J21" si="62">Q21/G21</f>
        <v>806.45161290322585</v>
      </c>
      <c r="K21" s="72">
        <f>VLOOKUP(B21,'Salary -Dec-2024 (Full)'!$B$6:$AE$383,10,0)</f>
        <v>25000</v>
      </c>
      <c r="L21" s="72">
        <f t="shared" ref="L21" si="63">K21*60%</f>
        <v>15000</v>
      </c>
      <c r="M21" s="72">
        <f t="shared" ref="M21" si="64">K21*30%</f>
        <v>7500</v>
      </c>
      <c r="N21" s="72">
        <f t="shared" ref="N21" si="65">K21*6%</f>
        <v>1500</v>
      </c>
      <c r="O21" s="72">
        <f t="shared" ref="O21" si="66">K21*4%</f>
        <v>1000</v>
      </c>
      <c r="P21" s="259"/>
      <c r="Q21" s="260">
        <f t="shared" ref="Q21" si="67">SUM(L21:P21)</f>
        <v>25000</v>
      </c>
      <c r="R21" s="188">
        <f>VLOOKUP(B21,'Salary -Dec-2024 (Full)'!$B$6:$AE$383,17,0)</f>
        <v>25000</v>
      </c>
      <c r="S21" s="192">
        <f>VLOOKUP(B21,'Salary -Dec-2024 (Full)'!$B$6:$AE$383,18,0)</f>
        <v>0</v>
      </c>
      <c r="T21" s="192">
        <f>VLOOKUP(B21,'Salary -Dec-2024 (Full)'!$B$6:$AE$383,19,0)</f>
        <v>0</v>
      </c>
      <c r="U21" s="337">
        <f>VLOOKUP(B21,'Salary -Dec-2024 (Full)'!$B$6:$AE$383,20,0)</f>
        <v>0</v>
      </c>
      <c r="V21" s="263">
        <f t="shared" ref="V21" si="68">SUM(R21:U21)</f>
        <v>25000</v>
      </c>
      <c r="W21" s="192">
        <f>VLOOKUP(B21,'Salary -Dec-2024 (Full)'!$B$6:$AE$383,22,0)</f>
        <v>0</v>
      </c>
      <c r="X21" s="192">
        <f>VLOOKUP(B21,'Salary -Dec-2024 (Full)'!$B$6:$AE$383,23,0)</f>
        <v>0</v>
      </c>
      <c r="Y21" s="337">
        <f>VLOOKUP(B21,'Salary -Dec-2024 (Full)'!$B$6:$AE$383,24,0)</f>
        <v>0</v>
      </c>
      <c r="Z21" s="192">
        <f>VLOOKUP(B21,'Salary -Dec-2024 (Full)'!$B$6:$AE$383,25,0)</f>
        <v>0</v>
      </c>
      <c r="AA21" s="192">
        <f>VLOOKUP(B21,'Salary -Dec-2024 (Full)'!$B$6:$AE$383,26,0)</f>
        <v>0</v>
      </c>
      <c r="AB21" s="384">
        <f t="shared" ref="AB21" si="69">SUM(W21:AA21)</f>
        <v>0</v>
      </c>
      <c r="AC21" s="193">
        <f t="shared" ref="AC21" si="70">ROUND(V21-AB21,0)</f>
        <v>25000</v>
      </c>
      <c r="AD21" s="264" t="str">
        <f>VLOOKUP(B21,'Salary -Dec-2024 (Full)'!$B$6:$AE$383,29,0)</f>
        <v>Bank</v>
      </c>
      <c r="AE21" s="264" t="str">
        <f>VLOOKUP(B21,'Salary -Dec-2024 (Full)'!$B$6:$AE$2853,30,0)</f>
        <v>103.103.1392450</v>
      </c>
      <c r="AG21" s="61"/>
      <c r="AH21" s="183"/>
      <c r="AI21" s="319"/>
    </row>
    <row r="22" spans="1:35" s="47" customFormat="1" ht="24" customHeight="1">
      <c r="A22" s="505">
        <v>3</v>
      </c>
      <c r="B22" s="518" t="s">
        <v>268</v>
      </c>
      <c r="C22" s="255" t="str">
        <f>VLOOKUP(B22,'Salary -Dec-2024 (Full)'!$B$6:$D$383,2,0)</f>
        <v>Md. Monir Hossain</v>
      </c>
      <c r="D22" s="278" t="str">
        <f>VLOOKUP(B22,'Salary -Dec-2024 (Full)'!$B$6:$D$383,3,0)</f>
        <v>Sr. Executive</v>
      </c>
      <c r="E22" s="256" t="str">
        <f>VLOOKUP(B22,'Salary -Dec-2024 (Full)'!$B$6:$AE$383,4,0)</f>
        <v>S&amp;M</v>
      </c>
      <c r="F22" s="475">
        <f>VLOOKUP(B22,'Salary -Dec-2024 (Full)'!$B$6:$AE$383,5,0)</f>
        <v>44774</v>
      </c>
      <c r="G22" s="257">
        <f>VLOOKUP(B22,'Salary -Dec-2024 (Full)'!$B$6:$AE$286,6,0)</f>
        <v>31</v>
      </c>
      <c r="H22" s="258">
        <f>VLOOKUP(B22,'Salary -Dec-2024 (Full)'!$B$6:$AE$383,7,0)</f>
        <v>0</v>
      </c>
      <c r="I22" s="257">
        <f t="shared" ref="I22" si="71">G22-H22</f>
        <v>31</v>
      </c>
      <c r="J22" s="258">
        <f t="shared" ref="J22" si="72">Q22/G22</f>
        <v>967.74193548387098</v>
      </c>
      <c r="K22" s="72">
        <f>VLOOKUP(B22,'Salary -Dec-2024 (Full)'!$B$6:$AE$383,10,0)</f>
        <v>30000</v>
      </c>
      <c r="L22" s="72">
        <f t="shared" ref="L22" si="73">K22*60%</f>
        <v>18000</v>
      </c>
      <c r="M22" s="72">
        <f t="shared" ref="M22" si="74">K22*30%</f>
        <v>9000</v>
      </c>
      <c r="N22" s="72">
        <f t="shared" ref="N22" si="75">K22*6%</f>
        <v>1800</v>
      </c>
      <c r="O22" s="72">
        <f t="shared" ref="O22" si="76">K22*4%</f>
        <v>1200</v>
      </c>
      <c r="P22" s="259"/>
      <c r="Q22" s="260">
        <f t="shared" ref="Q22" si="77">SUM(L22:P22)</f>
        <v>30000</v>
      </c>
      <c r="R22" s="188">
        <f>VLOOKUP(B22,'Salary -Dec-2024 (Full)'!$B$6:$AE$383,17,0)</f>
        <v>30000</v>
      </c>
      <c r="S22" s="192">
        <f>VLOOKUP(B22,'Salary -Dec-2024 (Full)'!$B$6:$AE$383,18,0)</f>
        <v>0</v>
      </c>
      <c r="T22" s="192">
        <f>VLOOKUP(B22,'Salary -Dec-2024 (Full)'!$B$6:$AE$383,19,0)</f>
        <v>0</v>
      </c>
      <c r="U22" s="337">
        <f>VLOOKUP(B22,'Salary -Dec-2024 (Full)'!$B$6:$AE$383,20,0)</f>
        <v>0</v>
      </c>
      <c r="V22" s="263">
        <f t="shared" ref="V22" si="78">SUM(R22:U22)</f>
        <v>30000</v>
      </c>
      <c r="W22" s="192">
        <f>VLOOKUP(B22,'Salary -Dec-2024 (Full)'!$B$6:$AE$383,22,0)</f>
        <v>0</v>
      </c>
      <c r="X22" s="192">
        <f>VLOOKUP(B22,'Salary -Dec-2024 (Full)'!$B$6:$AE$383,23,0)</f>
        <v>375</v>
      </c>
      <c r="Y22" s="337">
        <f>VLOOKUP(B22,'Salary -Dec-2024 (Full)'!$B$6:$AE$383,24,0)</f>
        <v>900</v>
      </c>
      <c r="Z22" s="192">
        <f>VLOOKUP(B22,'Salary -Dec-2024 (Full)'!$B$6:$AE$383,25,0)</f>
        <v>0</v>
      </c>
      <c r="AA22" s="192">
        <f>VLOOKUP(B22,'Salary -Dec-2024 (Full)'!$B$6:$AE$383,26,0)</f>
        <v>0</v>
      </c>
      <c r="AB22" s="384">
        <f t="shared" ref="AB22" si="79">SUM(W22:AA22)</f>
        <v>1275</v>
      </c>
      <c r="AC22" s="193">
        <f t="shared" ref="AC22" si="80">ROUND(V22-AB22,0)</f>
        <v>28725</v>
      </c>
      <c r="AD22" s="264" t="str">
        <f>VLOOKUP(B22,'Salary -Dec-2024 (Full)'!$B$6:$AE$383,29,0)</f>
        <v>Bank</v>
      </c>
      <c r="AE22" s="264" t="str">
        <f>VLOOKUP(B22,'Salary -Dec-2024 (Full)'!$B$6:$AE$2853,30,0)</f>
        <v>119.101.0125409</v>
      </c>
      <c r="AG22" s="61"/>
      <c r="AH22" s="183"/>
      <c r="AI22" s="319"/>
    </row>
    <row r="23" spans="1:35" s="61" customFormat="1" ht="24" customHeight="1">
      <c r="A23" s="1031" t="s">
        <v>67</v>
      </c>
      <c r="B23" s="1032"/>
      <c r="C23" s="1033"/>
      <c r="D23" s="1034"/>
      <c r="E23" s="1040"/>
      <c r="F23" s="1036"/>
      <c r="G23" s="1036"/>
      <c r="H23" s="1036"/>
      <c r="I23" s="1036"/>
      <c r="J23" s="1036"/>
      <c r="K23" s="1037">
        <f>SUM(K20:K22)</f>
        <v>130000</v>
      </c>
      <c r="L23" s="1037">
        <f t="shared" ref="L23:AC23" si="81">SUM(L20:L22)</f>
        <v>78000</v>
      </c>
      <c r="M23" s="1037">
        <f t="shared" si="81"/>
        <v>39000</v>
      </c>
      <c r="N23" s="1037">
        <f t="shared" si="81"/>
        <v>7800</v>
      </c>
      <c r="O23" s="1037">
        <f t="shared" si="81"/>
        <v>5200</v>
      </c>
      <c r="P23" s="1037">
        <f t="shared" si="81"/>
        <v>0</v>
      </c>
      <c r="Q23" s="1037">
        <f t="shared" si="81"/>
        <v>130000</v>
      </c>
      <c r="R23" s="1037">
        <f t="shared" si="81"/>
        <v>130000</v>
      </c>
      <c r="S23" s="1037">
        <f t="shared" si="81"/>
        <v>0</v>
      </c>
      <c r="T23" s="1037">
        <f t="shared" si="81"/>
        <v>0</v>
      </c>
      <c r="U23" s="1037">
        <f t="shared" si="81"/>
        <v>0</v>
      </c>
      <c r="V23" s="1037">
        <f t="shared" si="81"/>
        <v>130000</v>
      </c>
      <c r="W23" s="1037">
        <f t="shared" si="81"/>
        <v>517</v>
      </c>
      <c r="X23" s="1037">
        <f t="shared" si="81"/>
        <v>2250</v>
      </c>
      <c r="Y23" s="1037">
        <f t="shared" si="81"/>
        <v>3150</v>
      </c>
      <c r="Z23" s="1037">
        <f t="shared" si="81"/>
        <v>0</v>
      </c>
      <c r="AA23" s="1037">
        <f t="shared" si="81"/>
        <v>0</v>
      </c>
      <c r="AB23" s="1037">
        <f t="shared" si="81"/>
        <v>5917</v>
      </c>
      <c r="AC23" s="1037">
        <f t="shared" si="81"/>
        <v>124083</v>
      </c>
      <c r="AD23" s="1037"/>
      <c r="AE23" s="1042"/>
      <c r="AH23" s="183"/>
      <c r="AI23" s="320"/>
    </row>
    <row r="24" spans="1:35" s="47" customFormat="1" ht="24" customHeight="1">
      <c r="A24" s="347" t="s">
        <v>94</v>
      </c>
      <c r="B24" s="268"/>
      <c r="C24" s="268"/>
      <c r="D24" s="348"/>
      <c r="E24" s="268"/>
      <c r="F24" s="474"/>
      <c r="G24" s="268"/>
      <c r="H24" s="267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557"/>
      <c r="AG24" s="61"/>
      <c r="AH24" s="183"/>
      <c r="AI24" s="320"/>
    </row>
    <row r="25" spans="1:35" s="47" customFormat="1" ht="24" customHeight="1">
      <c r="A25" s="339">
        <v>1</v>
      </c>
      <c r="B25" s="340" t="s">
        <v>181</v>
      </c>
      <c r="C25" s="341" t="str">
        <f>VLOOKUP(B25,'Salary -Dec-2024 (Full)'!$B$6:$D$383,2,0)</f>
        <v>Md. Shariful Islam</v>
      </c>
      <c r="D25" s="342" t="str">
        <f>VLOOKUP(B25,'Salary -Dec-2024 (Full)'!$B$6:$D$383,3,0)</f>
        <v>Jr. Mechanic</v>
      </c>
      <c r="E25" s="343" t="str">
        <f>VLOOKUP(B25,'Salary -Dec-2024 (Full)'!$B$6:$AE$383,4,0)</f>
        <v>Technical</v>
      </c>
      <c r="F25" s="477">
        <f>VLOOKUP(B25,'Salary -Dec-2024 (Full)'!$B$6:$AE$383,5,0)</f>
        <v>44849</v>
      </c>
      <c r="G25" s="257">
        <f>VLOOKUP(B25,'Salary -Dec-2024 (Full)'!$B$6:$AE$286,6,0)</f>
        <v>31</v>
      </c>
      <c r="H25" s="258">
        <f>VLOOKUP(B25,'Salary -Dec-2024 (Full)'!$B$6:$AE$383,7,0)</f>
        <v>0</v>
      </c>
      <c r="I25" s="257">
        <f t="shared" ref="I25" si="82">G25-H25</f>
        <v>31</v>
      </c>
      <c r="J25" s="258">
        <f t="shared" ref="J25" si="83">Q25/G25</f>
        <v>596.77419354838707</v>
      </c>
      <c r="K25" s="192">
        <f>VLOOKUP(B25,'Salary -Dec-2024 (Full)'!$B$6:$AE$286,10,0)</f>
        <v>18500</v>
      </c>
      <c r="L25" s="192">
        <f t="shared" ref="L25:L31" si="84">K25*60%</f>
        <v>11100</v>
      </c>
      <c r="M25" s="192">
        <f t="shared" ref="M25:M31" si="85">K25*30%</f>
        <v>5550</v>
      </c>
      <c r="N25" s="192">
        <f t="shared" ref="N25:N31" si="86">K25*6%</f>
        <v>1110</v>
      </c>
      <c r="O25" s="192">
        <f t="shared" ref="O25:O31" si="87">K25*4%</f>
        <v>740</v>
      </c>
      <c r="P25" s="344"/>
      <c r="Q25" s="345">
        <f t="shared" ref="Q25:Q31" si="88">SUM(L25:P25)</f>
        <v>18500</v>
      </c>
      <c r="R25" s="188">
        <f>VLOOKUP(B25,'Salary -Dec-2024 (Full)'!$B$6:$AE$383,17,0)</f>
        <v>18500</v>
      </c>
      <c r="S25" s="192">
        <f>VLOOKUP(B25,'Salary -Dec-2024 (Full)'!$B$6:$AE$383,18,0)</f>
        <v>0</v>
      </c>
      <c r="T25" s="192">
        <f>VLOOKUP(B25,'Salary -Dec-2024 (Full)'!$B$6:$AE$383,19,0)</f>
        <v>0</v>
      </c>
      <c r="U25" s="337">
        <f>VLOOKUP(B25,'Salary -Dec-2024 (Full)'!$B$6:$AE$383,20,0)</f>
        <v>0</v>
      </c>
      <c r="V25" s="338">
        <f t="shared" ref="V25:V31" si="89">SUM(R25:U25)</f>
        <v>18500</v>
      </c>
      <c r="W25" s="192">
        <f>VLOOKUP(B25,'Salary -Dec-2024 (Full)'!$B$6:$AE$383,22,0)</f>
        <v>0</v>
      </c>
      <c r="X25" s="192">
        <f>VLOOKUP(B25,'Salary -Dec-2024 (Full)'!$B$6:$AE$383,23,0)</f>
        <v>0</v>
      </c>
      <c r="Y25" s="337">
        <f>VLOOKUP(B25,'Salary -Dec-2024 (Full)'!$B$6:$AE$383,24,0)</f>
        <v>555</v>
      </c>
      <c r="Z25" s="192">
        <f>VLOOKUP(B25,'Salary -Dec-2024 (Full)'!$B$6:$AE$383,25,0)</f>
        <v>0</v>
      </c>
      <c r="AA25" s="192">
        <f>VLOOKUP(B25,'Salary -Dec-2024 (Full)'!$B$6:$AE$383,26,0)</f>
        <v>0</v>
      </c>
      <c r="AB25" s="384">
        <f t="shared" ref="AB25:AB27" si="90">SUM(W25:AA25)</f>
        <v>555</v>
      </c>
      <c r="AC25" s="193">
        <f t="shared" ref="AC25:AC27" si="91">ROUND(V25-AB25,0)</f>
        <v>17945</v>
      </c>
      <c r="AD25" s="346" t="str">
        <f>VLOOKUP(B25,'Salary -Dec-2024 (Full)'!$B$6:$AE$383,29,0)</f>
        <v>Bank</v>
      </c>
      <c r="AE25" s="346" t="str">
        <f>VLOOKUP(B25,'Salary -Dec-2024 (Full)'!$B$6:$AE$383,30,0)</f>
        <v>172.158.0055521</v>
      </c>
      <c r="AG25" s="61"/>
      <c r="AH25" s="183"/>
      <c r="AI25" s="319"/>
    </row>
    <row r="26" spans="1:35" s="47" customFormat="1" ht="24" customHeight="1">
      <c r="A26" s="253">
        <v>2</v>
      </c>
      <c r="B26" s="254" t="s">
        <v>197</v>
      </c>
      <c r="C26" s="255" t="str">
        <f>VLOOKUP(B26,'Salary -Dec-2024 (Full)'!$B$6:$D$383,2,0)</f>
        <v>Md. Razib Rony</v>
      </c>
      <c r="D26" s="278" t="str">
        <f>VLOOKUP(B26,'Salary -Dec-2024 (Full)'!$B$6:$D$383,3,0)</f>
        <v>Sr. Mechanic</v>
      </c>
      <c r="E26" s="256" t="str">
        <f>VLOOKUP(B26,'Salary -Dec-2024 (Full)'!$B$6:$AE$383,4,0)</f>
        <v>Technical</v>
      </c>
      <c r="F26" s="475">
        <f>VLOOKUP(B26,'Salary -Dec-2024 (Full)'!$B$6:$AE$383,5,0)</f>
        <v>44886</v>
      </c>
      <c r="G26" s="257">
        <f>VLOOKUP(B26,'Salary -Dec-2024 (Full)'!$B$6:$AE$286,6,0)</f>
        <v>31</v>
      </c>
      <c r="H26" s="258">
        <f>VLOOKUP(B26,'Salary -Dec-2024 (Full)'!$B$6:$AE$383,7,0)</f>
        <v>0</v>
      </c>
      <c r="I26" s="257">
        <f t="shared" ref="I26:I33" si="92">G26-H26</f>
        <v>31</v>
      </c>
      <c r="J26" s="258">
        <f t="shared" ref="J26:J33" si="93">Q26/G26</f>
        <v>774.19354838709683</v>
      </c>
      <c r="K26" s="72">
        <f>VLOOKUP(B26,'Salary -Dec-2024 (Full)'!$B$6:$AE$286,10,0)</f>
        <v>24000</v>
      </c>
      <c r="L26" s="72">
        <f t="shared" si="84"/>
        <v>14400</v>
      </c>
      <c r="M26" s="72">
        <f t="shared" si="85"/>
        <v>7200</v>
      </c>
      <c r="N26" s="72">
        <f t="shared" si="86"/>
        <v>1440</v>
      </c>
      <c r="O26" s="72">
        <f t="shared" si="87"/>
        <v>960</v>
      </c>
      <c r="P26" s="259"/>
      <c r="Q26" s="260">
        <f t="shared" si="88"/>
        <v>24000</v>
      </c>
      <c r="R26" s="188">
        <f>VLOOKUP(B26,'Salary -Dec-2024 (Full)'!$B$6:$AE$383,17,0)</f>
        <v>24000</v>
      </c>
      <c r="S26" s="192">
        <f>VLOOKUP(B26,'Salary -Dec-2024 (Full)'!$B$6:$AE$383,18,0)</f>
        <v>0</v>
      </c>
      <c r="T26" s="192">
        <f>VLOOKUP(B26,'Salary -Dec-2024 (Full)'!$B$6:$AE$383,19,0)</f>
        <v>0</v>
      </c>
      <c r="U26" s="337">
        <f>VLOOKUP(B26,'Salary -Dec-2024 (Full)'!$B$6:$AE$383,20,0)</f>
        <v>0</v>
      </c>
      <c r="V26" s="263">
        <f t="shared" si="89"/>
        <v>24000</v>
      </c>
      <c r="W26" s="192">
        <f>VLOOKUP(B26,'Salary -Dec-2024 (Full)'!$B$6:$AE$383,22,0)</f>
        <v>0</v>
      </c>
      <c r="X26" s="192">
        <f>VLOOKUP(B26,'Salary -Dec-2024 (Full)'!$B$6:$AE$383,23,0)</f>
        <v>0</v>
      </c>
      <c r="Y26" s="337">
        <f>VLOOKUP(B26,'Salary -Dec-2024 (Full)'!$B$6:$AE$383,24,0)</f>
        <v>720</v>
      </c>
      <c r="Z26" s="192">
        <f>VLOOKUP(B26,'Salary -Dec-2024 (Full)'!$B$6:$AE$383,25,0)</f>
        <v>842</v>
      </c>
      <c r="AA26" s="192">
        <f>VLOOKUP(B26,'Salary -Dec-2024 (Full)'!$B$6:$AE$383,26,0)</f>
        <v>0</v>
      </c>
      <c r="AB26" s="384">
        <f t="shared" si="90"/>
        <v>1562</v>
      </c>
      <c r="AC26" s="193">
        <f t="shared" si="91"/>
        <v>22438</v>
      </c>
      <c r="AD26" s="264" t="str">
        <f>VLOOKUP(B26,'Salary -Dec-2024 (Full)'!$B$6:$AE$383,29,0)</f>
        <v>Bank</v>
      </c>
      <c r="AE26" s="264" t="str">
        <f>VLOOKUP(B26,'Salary -Dec-2024 (Full)'!$B$6:$AE$383,30,0)</f>
        <v>172.151.0086481</v>
      </c>
      <c r="AG26" s="61"/>
      <c r="AH26" s="183"/>
      <c r="AI26" s="319"/>
    </row>
    <row r="27" spans="1:35" s="47" customFormat="1" ht="24" customHeight="1">
      <c r="A27" s="253">
        <v>3</v>
      </c>
      <c r="B27" s="254" t="s">
        <v>525</v>
      </c>
      <c r="C27" s="255" t="str">
        <f>VLOOKUP(B27,'Salary -Dec-2024 (Full)'!$B$6:$D$383,2,0)</f>
        <v>Shahadatul Islam</v>
      </c>
      <c r="D27" s="278" t="str">
        <f>VLOOKUP(B27,'Salary -Dec-2024 (Full)'!$B$6:$D$383,3,0)</f>
        <v>Jr. Mechanic</v>
      </c>
      <c r="E27" s="256" t="str">
        <f>VLOOKUP(B27,'Salary -Dec-2024 (Full)'!$B$6:$AE$383,4,0)</f>
        <v>Technical</v>
      </c>
      <c r="F27" s="475">
        <f>VLOOKUP(B27,'Salary -Dec-2024 (Full)'!$B$6:$AE$383,5,0)</f>
        <v>44945</v>
      </c>
      <c r="G27" s="257">
        <f>VLOOKUP(B27,'Salary -Dec-2024 (Full)'!$B$6:$AE$286,6,0)</f>
        <v>31</v>
      </c>
      <c r="H27" s="258">
        <f>VLOOKUP(B27,'Salary -Dec-2024 (Full)'!$B$6:$AE$383,7,0)</f>
        <v>0</v>
      </c>
      <c r="I27" s="257">
        <f t="shared" si="92"/>
        <v>31</v>
      </c>
      <c r="J27" s="258">
        <f t="shared" si="93"/>
        <v>527.41935483870964</v>
      </c>
      <c r="K27" s="72">
        <f>VLOOKUP(B27,'Salary -Dec-2024 (Full)'!$B$6:$AE$286,10,0)</f>
        <v>16350</v>
      </c>
      <c r="L27" s="72">
        <f t="shared" si="84"/>
        <v>9810</v>
      </c>
      <c r="M27" s="72">
        <f t="shared" si="85"/>
        <v>4905</v>
      </c>
      <c r="N27" s="72">
        <f t="shared" si="86"/>
        <v>981</v>
      </c>
      <c r="O27" s="72">
        <f t="shared" si="87"/>
        <v>654</v>
      </c>
      <c r="P27" s="259"/>
      <c r="Q27" s="260">
        <f t="shared" si="88"/>
        <v>16350</v>
      </c>
      <c r="R27" s="188">
        <f>VLOOKUP(B27,'Salary -Dec-2024 (Full)'!$B$6:$AE$383,17,0)</f>
        <v>16350</v>
      </c>
      <c r="S27" s="192">
        <f>VLOOKUP(B27,'Salary -Dec-2024 (Full)'!$B$6:$AE$383,18,0)</f>
        <v>0</v>
      </c>
      <c r="T27" s="192">
        <f>VLOOKUP(B27,'Salary -Dec-2024 (Full)'!$B$6:$AE$383,19,0)</f>
        <v>0</v>
      </c>
      <c r="U27" s="337">
        <f>VLOOKUP(B27,'Salary -Dec-2024 (Full)'!$B$6:$AE$383,20,0)</f>
        <v>0</v>
      </c>
      <c r="V27" s="263">
        <f t="shared" si="89"/>
        <v>16350</v>
      </c>
      <c r="W27" s="192">
        <f>VLOOKUP(B27,'Salary -Dec-2024 (Full)'!$B$6:$AE$383,22,0)</f>
        <v>0</v>
      </c>
      <c r="X27" s="192">
        <f>VLOOKUP(B27,'Salary -Dec-2024 (Full)'!$B$6:$AE$383,23,0)</f>
        <v>0</v>
      </c>
      <c r="Y27" s="337">
        <f>VLOOKUP(B27,'Salary -Dec-2024 (Full)'!$B$6:$AE$383,24,0)</f>
        <v>491</v>
      </c>
      <c r="Z27" s="192">
        <f>VLOOKUP(B27,'Salary -Dec-2024 (Full)'!$B$6:$AE$383,25,0)</f>
        <v>0</v>
      </c>
      <c r="AA27" s="192">
        <f>VLOOKUP(B27,'Salary -Dec-2024 (Full)'!$B$6:$AE$383,26,0)</f>
        <v>0</v>
      </c>
      <c r="AB27" s="384">
        <f t="shared" si="90"/>
        <v>491</v>
      </c>
      <c r="AC27" s="193">
        <f t="shared" si="91"/>
        <v>15859</v>
      </c>
      <c r="AD27" s="264" t="str">
        <f>VLOOKUP(B27,'Salary -Dec-2024 (Full)'!$B$6:$AE$383,29,0)</f>
        <v>Bank</v>
      </c>
      <c r="AE27" s="264" t="str">
        <f>VLOOKUP(B27,'Salary -Dec-2024 (Full)'!$B$6:$AE$383,30,0)</f>
        <v>135.151.0419990</v>
      </c>
      <c r="AG27" s="61"/>
      <c r="AH27" s="183"/>
      <c r="AI27" s="319"/>
    </row>
    <row r="28" spans="1:35" s="47" customFormat="1" ht="24" customHeight="1">
      <c r="A28" s="253">
        <v>4</v>
      </c>
      <c r="B28" s="254" t="s">
        <v>527</v>
      </c>
      <c r="C28" s="255" t="str">
        <f>VLOOKUP(B28,'Salary -Dec-2024 (Full)'!$B$6:$D$383,2,0)</f>
        <v>Md. Gulzar Islam</v>
      </c>
      <c r="D28" s="278" t="str">
        <f>VLOOKUP(B28,'Salary -Dec-2024 (Full)'!$B$6:$D$383,3,0)</f>
        <v>Mechanic</v>
      </c>
      <c r="E28" s="256" t="str">
        <f>VLOOKUP(B28,'Salary -Dec-2024 (Full)'!$B$6:$AE$383,4,0)</f>
        <v>Technical</v>
      </c>
      <c r="F28" s="475">
        <f>VLOOKUP(B28,'Salary -Dec-2024 (Full)'!$B$6:$AE$383,5,0)</f>
        <v>44949</v>
      </c>
      <c r="G28" s="257">
        <f>VLOOKUP(B28,'Salary -Dec-2024 (Full)'!$B$6:$AE$286,6,0)</f>
        <v>31</v>
      </c>
      <c r="H28" s="258">
        <f>VLOOKUP(B28,'Salary -Dec-2024 (Full)'!$B$6:$AE$383,7,0)</f>
        <v>0</v>
      </c>
      <c r="I28" s="257">
        <f t="shared" si="92"/>
        <v>31</v>
      </c>
      <c r="J28" s="258">
        <f t="shared" si="93"/>
        <v>716.12903225806451</v>
      </c>
      <c r="K28" s="72">
        <f>VLOOKUP(B28,'Salary -Dec-2024 (Full)'!$B$6:$AE$286,10,0)</f>
        <v>22200</v>
      </c>
      <c r="L28" s="72">
        <f t="shared" si="84"/>
        <v>13320</v>
      </c>
      <c r="M28" s="72">
        <f t="shared" si="85"/>
        <v>6660</v>
      </c>
      <c r="N28" s="72">
        <f t="shared" si="86"/>
        <v>1332</v>
      </c>
      <c r="O28" s="72">
        <f t="shared" si="87"/>
        <v>888</v>
      </c>
      <c r="P28" s="259"/>
      <c r="Q28" s="260">
        <f t="shared" si="88"/>
        <v>22200</v>
      </c>
      <c r="R28" s="188">
        <f>VLOOKUP(B28,'Salary -Dec-2024 (Full)'!$B$6:$AE$383,17,0)</f>
        <v>22200</v>
      </c>
      <c r="S28" s="192">
        <f>VLOOKUP(B28,'Salary -Dec-2024 (Full)'!$B$6:$AE$383,18,0)</f>
        <v>0</v>
      </c>
      <c r="T28" s="192">
        <f>VLOOKUP(B28,'Salary -Dec-2024 (Full)'!$B$6:$AE$383,19,0)</f>
        <v>0</v>
      </c>
      <c r="U28" s="337">
        <f>VLOOKUP(B28,'Salary -Dec-2024 (Full)'!$B$6:$AE$383,20,0)</f>
        <v>0</v>
      </c>
      <c r="V28" s="263">
        <f t="shared" si="89"/>
        <v>22200</v>
      </c>
      <c r="W28" s="192">
        <f>VLOOKUP(B28,'Salary -Dec-2024 (Full)'!$B$6:$AE$383,22,0)</f>
        <v>0</v>
      </c>
      <c r="X28" s="192">
        <f>VLOOKUP(B28,'Salary -Dec-2024 (Full)'!$B$6:$AE$383,23,0)</f>
        <v>0</v>
      </c>
      <c r="Y28" s="337">
        <f>VLOOKUP(B28,'Salary -Dec-2024 (Full)'!$B$6:$AE$383,24,0)</f>
        <v>666</v>
      </c>
      <c r="Z28" s="192">
        <f>VLOOKUP(B28,'Salary -Dec-2024 (Full)'!$B$6:$AE$383,25,0)</f>
        <v>2000</v>
      </c>
      <c r="AA28" s="192">
        <f>VLOOKUP(B28,'Salary -Dec-2024 (Full)'!$B$6:$AE$383,26,0)</f>
        <v>0</v>
      </c>
      <c r="AB28" s="384">
        <f t="shared" ref="AB28:AB38" si="94">SUM(W28:AA28)</f>
        <v>2666</v>
      </c>
      <c r="AC28" s="193">
        <f t="shared" ref="AC28:AC38" si="95">ROUND(V28-AB28,0)</f>
        <v>19534</v>
      </c>
      <c r="AD28" s="264" t="str">
        <f>VLOOKUP(B28,'Salary -Dec-2024 (Full)'!$B$6:$AE$383,29,0)</f>
        <v>Bank</v>
      </c>
      <c r="AE28" s="264" t="str">
        <f>VLOOKUP(B28,'Salary -Dec-2024 (Full)'!$B$6:$AE$383,30,0)</f>
        <v>172.107.0024413</v>
      </c>
      <c r="AG28" s="61"/>
      <c r="AH28" s="183"/>
      <c r="AI28" s="319"/>
    </row>
    <row r="29" spans="1:35" s="47" customFormat="1" ht="24" customHeight="1">
      <c r="A29" s="253">
        <v>5</v>
      </c>
      <c r="B29" s="254" t="s">
        <v>565</v>
      </c>
      <c r="C29" s="255" t="str">
        <f>VLOOKUP(B29,'Salary -Dec-2024 (Full)'!$B$6:$D$383,2,0)</f>
        <v>Md. Arif</v>
      </c>
      <c r="D29" s="278" t="str">
        <f>VLOOKUP(B29,'Salary -Dec-2024 (Full)'!$B$6:$D$383,3,0)</f>
        <v>Mechanic</v>
      </c>
      <c r="E29" s="256" t="str">
        <f>VLOOKUP(B29,'Salary -Dec-2024 (Full)'!$B$6:$AE$383,4,0)</f>
        <v>Technical</v>
      </c>
      <c r="F29" s="475">
        <f>VLOOKUP(B29,'Salary -Dec-2024 (Full)'!$B$6:$AE$383,5,0)</f>
        <v>44977</v>
      </c>
      <c r="G29" s="257">
        <f>VLOOKUP(B29,'Salary -Dec-2024 (Full)'!$B$6:$AE$286,6,0)</f>
        <v>31</v>
      </c>
      <c r="H29" s="258">
        <f>VLOOKUP(B29,'Salary -Dec-2024 (Full)'!$B$6:$AE$383,7,0)</f>
        <v>0</v>
      </c>
      <c r="I29" s="257">
        <f t="shared" si="92"/>
        <v>31</v>
      </c>
      <c r="J29" s="258">
        <f t="shared" si="93"/>
        <v>693.54838709677415</v>
      </c>
      <c r="K29" s="72">
        <f>VLOOKUP(B29,'Salary -Dec-2024 (Full)'!$B$6:$AE$286,10,0)</f>
        <v>21500</v>
      </c>
      <c r="L29" s="72">
        <f t="shared" si="84"/>
        <v>12900</v>
      </c>
      <c r="M29" s="72">
        <f t="shared" si="85"/>
        <v>6450</v>
      </c>
      <c r="N29" s="72">
        <f t="shared" si="86"/>
        <v>1290</v>
      </c>
      <c r="O29" s="72">
        <f t="shared" si="87"/>
        <v>860</v>
      </c>
      <c r="P29" s="259"/>
      <c r="Q29" s="260">
        <f t="shared" si="88"/>
        <v>21500</v>
      </c>
      <c r="R29" s="188">
        <f>VLOOKUP(B29,'Salary -Dec-2024 (Full)'!$B$6:$AE$383,17,0)</f>
        <v>21500</v>
      </c>
      <c r="S29" s="192">
        <f>VLOOKUP(B29,'Salary -Dec-2024 (Full)'!$B$6:$AE$383,18,0)</f>
        <v>0</v>
      </c>
      <c r="T29" s="192">
        <f>VLOOKUP(B29,'Salary -Dec-2024 (Full)'!$B$6:$AE$383,19,0)</f>
        <v>0</v>
      </c>
      <c r="U29" s="337">
        <f>VLOOKUP(B29,'Salary -Dec-2024 (Full)'!$B$6:$AE$383,20,0)</f>
        <v>0</v>
      </c>
      <c r="V29" s="263">
        <f t="shared" si="89"/>
        <v>21500</v>
      </c>
      <c r="W29" s="192">
        <f>VLOOKUP(B29,'Salary -Dec-2024 (Full)'!$B$6:$AE$383,22,0)</f>
        <v>0</v>
      </c>
      <c r="X29" s="192">
        <f>VLOOKUP(B29,'Salary -Dec-2024 (Full)'!$B$6:$AE$383,23,0)</f>
        <v>0</v>
      </c>
      <c r="Y29" s="337">
        <f>VLOOKUP(B29,'Salary -Dec-2024 (Full)'!$B$6:$AE$383,24,0)</f>
        <v>645</v>
      </c>
      <c r="Z29" s="192">
        <f>VLOOKUP(B29,'Salary -Dec-2024 (Full)'!$B$6:$AE$383,25,0)</f>
        <v>2000</v>
      </c>
      <c r="AA29" s="192">
        <f>VLOOKUP(B29,'Salary -Dec-2024 (Full)'!$B$6:$AE$383,26,0)</f>
        <v>0</v>
      </c>
      <c r="AB29" s="384">
        <f t="shared" si="94"/>
        <v>2645</v>
      </c>
      <c r="AC29" s="193">
        <f t="shared" si="95"/>
        <v>18855</v>
      </c>
      <c r="AD29" s="264" t="str">
        <f>VLOOKUP(B29,'Salary -Dec-2024 (Full)'!$B$6:$AE$383,29,0)</f>
        <v>Bank</v>
      </c>
      <c r="AE29" s="264" t="str">
        <f>VLOOKUP(B29,'Salary -Dec-2024 (Full)'!$B$6:$AE$383,30,0)</f>
        <v>163.158.0019170</v>
      </c>
      <c r="AG29" s="61"/>
      <c r="AH29" s="183"/>
      <c r="AI29" s="319"/>
    </row>
    <row r="30" spans="1:35" s="47" customFormat="1" ht="24" customHeight="1">
      <c r="A30" s="253">
        <v>6</v>
      </c>
      <c r="B30" s="254" t="s">
        <v>617</v>
      </c>
      <c r="C30" s="255" t="str">
        <f>VLOOKUP(B30,'Salary -Dec-2024 (Full)'!$B$6:$D$383,2,0)</f>
        <v>Md. Niem Hosen</v>
      </c>
      <c r="D30" s="278" t="str">
        <f>VLOOKUP(B30,'Salary -Dec-2024 (Full)'!$B$6:$D$383,3,0)</f>
        <v>Mechanic</v>
      </c>
      <c r="E30" s="256" t="str">
        <f>VLOOKUP(B30,'Salary -Dec-2024 (Full)'!$B$6:$AE$383,4,0)</f>
        <v>Technical</v>
      </c>
      <c r="F30" s="475">
        <f>VLOOKUP(B30,'Salary -Dec-2024 (Full)'!$B$6:$AE$383,5,0)</f>
        <v>45041</v>
      </c>
      <c r="G30" s="257">
        <f>VLOOKUP(B30,'Salary -Dec-2024 (Full)'!$B$6:$AE$286,6,0)</f>
        <v>31</v>
      </c>
      <c r="H30" s="258">
        <f>VLOOKUP(B30,'Salary -Dec-2024 (Full)'!$B$6:$AE$383,7,0)</f>
        <v>0</v>
      </c>
      <c r="I30" s="257">
        <f t="shared" si="92"/>
        <v>31</v>
      </c>
      <c r="J30" s="258">
        <f t="shared" si="93"/>
        <v>741.93548387096769</v>
      </c>
      <c r="K30" s="72">
        <f>VLOOKUP(B30,'Salary -Dec-2024 (Full)'!$B$6:$AE$286,10,0)</f>
        <v>23000</v>
      </c>
      <c r="L30" s="72">
        <f t="shared" si="84"/>
        <v>13800</v>
      </c>
      <c r="M30" s="72">
        <f t="shared" si="85"/>
        <v>6900</v>
      </c>
      <c r="N30" s="72">
        <f t="shared" si="86"/>
        <v>1380</v>
      </c>
      <c r="O30" s="72">
        <f t="shared" si="87"/>
        <v>920</v>
      </c>
      <c r="P30" s="259"/>
      <c r="Q30" s="260">
        <f t="shared" si="88"/>
        <v>23000</v>
      </c>
      <c r="R30" s="188">
        <f>VLOOKUP(B30,'Salary -Dec-2024 (Full)'!$B$6:$AE$383,17,0)</f>
        <v>23000</v>
      </c>
      <c r="S30" s="192">
        <f>VLOOKUP(B30,'Salary -Dec-2024 (Full)'!$B$6:$AE$383,18,0)</f>
        <v>0</v>
      </c>
      <c r="T30" s="192">
        <f>VLOOKUP(B30,'Salary -Dec-2024 (Full)'!$B$6:$AE$383,19,0)</f>
        <v>0</v>
      </c>
      <c r="U30" s="337">
        <f>VLOOKUP(B30,'Salary -Dec-2024 (Full)'!$B$6:$AE$383,20,0)</f>
        <v>0</v>
      </c>
      <c r="V30" s="263">
        <f t="shared" si="89"/>
        <v>23000</v>
      </c>
      <c r="W30" s="192">
        <f>VLOOKUP(B30,'Salary -Dec-2024 (Full)'!$B$6:$AE$383,22,0)</f>
        <v>0</v>
      </c>
      <c r="X30" s="192">
        <f>VLOOKUP(B30,'Salary -Dec-2024 (Full)'!$B$6:$AE$383,23,0)</f>
        <v>0</v>
      </c>
      <c r="Y30" s="337">
        <f>VLOOKUP(B30,'Salary -Dec-2024 (Full)'!$B$6:$AE$383,24,0)</f>
        <v>690</v>
      </c>
      <c r="Z30" s="192">
        <f>VLOOKUP(B30,'Salary -Dec-2024 (Full)'!$B$6:$AE$383,25,0)</f>
        <v>0</v>
      </c>
      <c r="AA30" s="192">
        <f>VLOOKUP(B30,'Salary -Dec-2024 (Full)'!$B$6:$AE$383,26,0)</f>
        <v>0</v>
      </c>
      <c r="AB30" s="384">
        <f t="shared" si="94"/>
        <v>690</v>
      </c>
      <c r="AC30" s="193">
        <f t="shared" si="95"/>
        <v>22310</v>
      </c>
      <c r="AD30" s="264" t="str">
        <f>VLOOKUP(B30,'Salary -Dec-2024 (Full)'!$B$6:$AE$383,29,0)</f>
        <v>Bank</v>
      </c>
      <c r="AE30" s="264" t="str">
        <f>VLOOKUP(B30,'Salary -Dec-2024 (Full)'!$B$6:$AE$383,30,0)</f>
        <v>163.152.0003449</v>
      </c>
      <c r="AG30" s="61"/>
      <c r="AH30" s="183"/>
      <c r="AI30" s="319"/>
    </row>
    <row r="31" spans="1:35" s="47" customFormat="1" ht="24" customHeight="1">
      <c r="A31" s="253">
        <v>7</v>
      </c>
      <c r="B31" s="254" t="s">
        <v>656</v>
      </c>
      <c r="C31" s="255" t="str">
        <f>VLOOKUP(B31,'Salary -Dec-2024 (Full)'!$B$6:$D$383,2,0)</f>
        <v>Uttam Devnath</v>
      </c>
      <c r="D31" s="278" t="str">
        <f>VLOOKUP(B31,'Salary -Dec-2024 (Full)'!$B$6:$D$383,3,0)</f>
        <v>Mechanic</v>
      </c>
      <c r="E31" s="256" t="str">
        <f>VLOOKUP(B31,'Salary -Dec-2024 (Full)'!$B$6:$AE$383,4,0)</f>
        <v>Technical</v>
      </c>
      <c r="F31" s="475">
        <f>VLOOKUP(B31,'Salary -Dec-2024 (Full)'!$B$6:$AE$383,5,0)</f>
        <v>45054</v>
      </c>
      <c r="G31" s="257">
        <f>VLOOKUP(B31,'Salary -Dec-2024 (Full)'!$B$6:$AE$286,6,0)</f>
        <v>31</v>
      </c>
      <c r="H31" s="258">
        <f>VLOOKUP(B31,'Salary -Dec-2024 (Full)'!$B$6:$AE$383,7,0)</f>
        <v>0</v>
      </c>
      <c r="I31" s="257">
        <f t="shared" si="92"/>
        <v>31</v>
      </c>
      <c r="J31" s="258">
        <f t="shared" si="93"/>
        <v>683.87096774193549</v>
      </c>
      <c r="K31" s="72">
        <f>VLOOKUP(B31,'Salary -Dec-2024 (Full)'!$B$6:$AE$286,10,0)</f>
        <v>21200</v>
      </c>
      <c r="L31" s="72">
        <f t="shared" si="84"/>
        <v>12720</v>
      </c>
      <c r="M31" s="72">
        <f t="shared" si="85"/>
        <v>6360</v>
      </c>
      <c r="N31" s="72">
        <f t="shared" si="86"/>
        <v>1272</v>
      </c>
      <c r="O31" s="72">
        <f t="shared" si="87"/>
        <v>848</v>
      </c>
      <c r="P31" s="259"/>
      <c r="Q31" s="260">
        <f t="shared" si="88"/>
        <v>21200</v>
      </c>
      <c r="R31" s="188">
        <f>VLOOKUP(B31,'Salary -Dec-2024 (Full)'!$B$6:$AE$383,17,0)</f>
        <v>21200</v>
      </c>
      <c r="S31" s="192">
        <f>VLOOKUP(B31,'Salary -Dec-2024 (Full)'!$B$6:$AE$383,18,0)</f>
        <v>0</v>
      </c>
      <c r="T31" s="192">
        <f>VLOOKUP(B31,'Salary -Dec-2024 (Full)'!$B$6:$AE$383,19,0)</f>
        <v>0</v>
      </c>
      <c r="U31" s="337">
        <f>VLOOKUP(B31,'Salary -Dec-2024 (Full)'!$B$6:$AE$383,20,0)</f>
        <v>0</v>
      </c>
      <c r="V31" s="263">
        <f t="shared" si="89"/>
        <v>21200</v>
      </c>
      <c r="W31" s="192">
        <f>VLOOKUP(B31,'Salary -Dec-2024 (Full)'!$B$6:$AE$383,22,0)</f>
        <v>0</v>
      </c>
      <c r="X31" s="192">
        <f>VLOOKUP(B31,'Salary -Dec-2024 (Full)'!$B$6:$AE$383,23,0)</f>
        <v>0</v>
      </c>
      <c r="Y31" s="337">
        <f>VLOOKUP(B31,'Salary -Dec-2024 (Full)'!$B$6:$AE$383,24,0)</f>
        <v>636</v>
      </c>
      <c r="Z31" s="192">
        <f>VLOOKUP(B31,'Salary -Dec-2024 (Full)'!$B$6:$AE$383,25,0)</f>
        <v>2000</v>
      </c>
      <c r="AA31" s="192">
        <f>VLOOKUP(B31,'Salary -Dec-2024 (Full)'!$B$6:$AE$383,26,0)</f>
        <v>0</v>
      </c>
      <c r="AB31" s="384">
        <f t="shared" si="94"/>
        <v>2636</v>
      </c>
      <c r="AC31" s="193">
        <f t="shared" si="95"/>
        <v>18564</v>
      </c>
      <c r="AD31" s="264" t="str">
        <f>VLOOKUP(B31,'Salary -Dec-2024 (Full)'!$B$6:$AE$383,29,0)</f>
        <v>Bank</v>
      </c>
      <c r="AE31" s="264" t="str">
        <f>VLOOKUP(B31,'Salary -Dec-2024 (Full)'!$B$6:$AE$383,30,0)</f>
        <v>263.158.0007366</v>
      </c>
      <c r="AG31" s="61"/>
      <c r="AH31" s="183"/>
      <c r="AI31" s="319"/>
    </row>
    <row r="32" spans="1:35" s="47" customFormat="1" ht="24" customHeight="1">
      <c r="A32" s="253">
        <v>8</v>
      </c>
      <c r="B32" s="254" t="s">
        <v>637</v>
      </c>
      <c r="C32" s="255" t="str">
        <f>VLOOKUP(B32,'Salary -Dec-2024 (Full)'!$B$6:$D$383,2,0)</f>
        <v>Md Balal Hossain</v>
      </c>
      <c r="D32" s="278" t="str">
        <f>VLOOKUP(B32,'Salary -Dec-2024 (Full)'!$B$6:$D$383,3,0)</f>
        <v>Asst. Mechanic</v>
      </c>
      <c r="E32" s="256" t="str">
        <f>VLOOKUP(B32,'Salary -Dec-2024 (Full)'!$B$6:$AE$383,4,0)</f>
        <v>Technical</v>
      </c>
      <c r="F32" s="475">
        <f>VLOOKUP(B32,'Salary -Dec-2024 (Full)'!$B$6:$AE$383,5,0)</f>
        <v>45049</v>
      </c>
      <c r="G32" s="257">
        <f>VLOOKUP(B32,'Salary -Dec-2024 (Full)'!$B$6:$AE$286,6,0)</f>
        <v>31</v>
      </c>
      <c r="H32" s="258">
        <f>VLOOKUP(B32,'Salary -Dec-2024 (Full)'!$B$6:$AE$383,7,0)</f>
        <v>0</v>
      </c>
      <c r="I32" s="257">
        <f t="shared" si="92"/>
        <v>31</v>
      </c>
      <c r="J32" s="258">
        <f t="shared" si="93"/>
        <v>564.51612903225805</v>
      </c>
      <c r="K32" s="72">
        <f>VLOOKUP(B32,'Salary -Dec-2024 (Full)'!$B$6:$AE$286,10,0)</f>
        <v>17500</v>
      </c>
      <c r="L32" s="72">
        <f t="shared" ref="L32:L36" si="96">K32*60%</f>
        <v>10500</v>
      </c>
      <c r="M32" s="72">
        <f t="shared" ref="M32:M36" si="97">K32*30%</f>
        <v>5250</v>
      </c>
      <c r="N32" s="72">
        <f t="shared" ref="N32:N36" si="98">K32*6%</f>
        <v>1050</v>
      </c>
      <c r="O32" s="72">
        <f t="shared" ref="O32:O36" si="99">K32*4%</f>
        <v>700</v>
      </c>
      <c r="P32" s="259"/>
      <c r="Q32" s="260">
        <f t="shared" ref="Q32:Q36" si="100">SUM(L32:P32)</f>
        <v>17500</v>
      </c>
      <c r="R32" s="188">
        <f>VLOOKUP(B32,'Salary -Dec-2024 (Full)'!$B$6:$AE$383,17,0)</f>
        <v>17500</v>
      </c>
      <c r="S32" s="192">
        <f>VLOOKUP(B32,'Salary -Dec-2024 (Full)'!$B$6:$AE$383,18,0)</f>
        <v>0</v>
      </c>
      <c r="T32" s="192">
        <f>VLOOKUP(B32,'Salary -Dec-2024 (Full)'!$B$6:$AE$383,19,0)</f>
        <v>0</v>
      </c>
      <c r="U32" s="337">
        <f>VLOOKUP(B32,'Salary -Dec-2024 (Full)'!$B$6:$AE$383,20,0)</f>
        <v>0</v>
      </c>
      <c r="V32" s="263">
        <f t="shared" ref="V32:V36" si="101">SUM(R32:U32)</f>
        <v>17500</v>
      </c>
      <c r="W32" s="192">
        <f>VLOOKUP(B32,'Salary -Dec-2024 (Full)'!$B$6:$AE$383,22,0)</f>
        <v>0</v>
      </c>
      <c r="X32" s="192">
        <f>VLOOKUP(B32,'Salary -Dec-2024 (Full)'!$B$6:$AE$383,23,0)</f>
        <v>0</v>
      </c>
      <c r="Y32" s="337">
        <f>VLOOKUP(B32,'Salary -Dec-2024 (Full)'!$B$6:$AE$383,24,0)</f>
        <v>525</v>
      </c>
      <c r="Z32" s="192">
        <f>VLOOKUP(B32,'Salary -Dec-2024 (Full)'!$B$6:$AE$383,25,0)</f>
        <v>2000</v>
      </c>
      <c r="AA32" s="192">
        <f>VLOOKUP(B32,'Salary -Dec-2024 (Full)'!$B$6:$AE$383,26,0)</f>
        <v>0</v>
      </c>
      <c r="AB32" s="384">
        <f t="shared" si="94"/>
        <v>2525</v>
      </c>
      <c r="AC32" s="193">
        <f t="shared" si="95"/>
        <v>14975</v>
      </c>
      <c r="AD32" s="264" t="str">
        <f>VLOOKUP(B32,'Salary -Dec-2024 (Full)'!$B$6:$AE$383,29,0)</f>
        <v>Bank</v>
      </c>
      <c r="AE32" s="264" t="str">
        <f>VLOOKUP(B32,'Salary -Dec-2024 (Full)'!$B$6:$AE$383,30,0)</f>
        <v>103.103.0874710</v>
      </c>
      <c r="AG32" s="61"/>
      <c r="AH32" s="183"/>
      <c r="AI32" s="319"/>
    </row>
    <row r="33" spans="1:35" s="47" customFormat="1" ht="24" customHeight="1">
      <c r="A33" s="253">
        <v>9</v>
      </c>
      <c r="B33" s="254" t="s">
        <v>696</v>
      </c>
      <c r="C33" s="255" t="str">
        <f>VLOOKUP(B33,'Salary -Dec-2024 (Full)'!$B$6:$D$383,2,0)</f>
        <v>Md Tahmedur Rahman</v>
      </c>
      <c r="D33" s="278" t="str">
        <f>VLOOKUP(B33,'Salary -Dec-2024 (Full)'!$B$6:$D$383,3,0)</f>
        <v>Asst. Mechanic</v>
      </c>
      <c r="E33" s="256" t="str">
        <f>VLOOKUP(B33,'Salary -Dec-2024 (Full)'!$B$6:$AE$383,4,0)</f>
        <v>Technical</v>
      </c>
      <c r="F33" s="475">
        <f>VLOOKUP(B33,'Salary -Dec-2024 (Full)'!$B$6:$AE$383,5,0)</f>
        <v>45078</v>
      </c>
      <c r="G33" s="257">
        <f>VLOOKUP(B33,'Salary -Dec-2024 (Full)'!$B$6:$AE$286,6,0)</f>
        <v>31</v>
      </c>
      <c r="H33" s="258">
        <f>VLOOKUP(B33,'Salary -Dec-2024 (Full)'!$B$6:$AE$383,7,0)</f>
        <v>3</v>
      </c>
      <c r="I33" s="257">
        <f t="shared" si="92"/>
        <v>28</v>
      </c>
      <c r="J33" s="258">
        <f t="shared" si="93"/>
        <v>548.38709677419354</v>
      </c>
      <c r="K33" s="72">
        <f>VLOOKUP(B33,'Salary -Dec-2024 (Full)'!$B$6:$AE$286,10,0)</f>
        <v>17000</v>
      </c>
      <c r="L33" s="72">
        <f t="shared" si="96"/>
        <v>10200</v>
      </c>
      <c r="M33" s="72">
        <f t="shared" si="97"/>
        <v>5100</v>
      </c>
      <c r="N33" s="72">
        <f t="shared" si="98"/>
        <v>1020</v>
      </c>
      <c r="O33" s="72">
        <f t="shared" si="99"/>
        <v>680</v>
      </c>
      <c r="P33" s="259"/>
      <c r="Q33" s="260">
        <f t="shared" si="100"/>
        <v>17000</v>
      </c>
      <c r="R33" s="188">
        <f>VLOOKUP(B33,'Salary -Dec-2024 (Full)'!$B$6:$AE$383,17,0)</f>
        <v>15355</v>
      </c>
      <c r="S33" s="192">
        <f>VLOOKUP(B33,'Salary -Dec-2024 (Full)'!$B$6:$AE$383,18,0)</f>
        <v>0</v>
      </c>
      <c r="T33" s="192">
        <f>VLOOKUP(B33,'Salary -Dec-2024 (Full)'!$B$6:$AE$383,19,0)</f>
        <v>0</v>
      </c>
      <c r="U33" s="337">
        <f>VLOOKUP(B33,'Salary -Dec-2024 (Full)'!$B$6:$AE$383,20,0)</f>
        <v>0</v>
      </c>
      <c r="V33" s="263">
        <f t="shared" si="101"/>
        <v>15355</v>
      </c>
      <c r="W33" s="192">
        <f>VLOOKUP(B33,'Salary -Dec-2024 (Full)'!$B$6:$AE$383,22,0)</f>
        <v>0</v>
      </c>
      <c r="X33" s="192">
        <f>VLOOKUP(B33,'Salary -Dec-2024 (Full)'!$B$6:$AE$383,23,0)</f>
        <v>0</v>
      </c>
      <c r="Y33" s="337">
        <f>VLOOKUP(B33,'Salary -Dec-2024 (Full)'!$B$6:$AE$383,24,0)</f>
        <v>510</v>
      </c>
      <c r="Z33" s="192">
        <f>VLOOKUP(B33,'Salary -Dec-2024 (Full)'!$B$6:$AE$383,25,0)</f>
        <v>2000</v>
      </c>
      <c r="AA33" s="192">
        <f>VLOOKUP(B33,'Salary -Dec-2024 (Full)'!$B$6:$AE$383,26,0)</f>
        <v>0</v>
      </c>
      <c r="AB33" s="384">
        <f t="shared" si="94"/>
        <v>2510</v>
      </c>
      <c r="AC33" s="193">
        <f t="shared" si="95"/>
        <v>12845</v>
      </c>
      <c r="AD33" s="264" t="str">
        <f>VLOOKUP(B33,'Salary -Dec-2024 (Full)'!$B$6:$AE$383,29,0)</f>
        <v>Bank</v>
      </c>
      <c r="AE33" s="264" t="str">
        <f>VLOOKUP(B33,'Salary -Dec-2024 (Full)'!$B$6:$AE$383,30,0)</f>
        <v>162.158.0101443</v>
      </c>
      <c r="AG33" s="61"/>
      <c r="AH33" s="183"/>
      <c r="AI33" s="319"/>
    </row>
    <row r="34" spans="1:35" s="47" customFormat="1" ht="24" customHeight="1">
      <c r="A34" s="253">
        <v>10</v>
      </c>
      <c r="B34" s="254" t="s">
        <v>864</v>
      </c>
      <c r="C34" s="255" t="str">
        <f>VLOOKUP(B34,'Salary -Dec-2024 (Full)'!$B$6:$D$383,2,0)</f>
        <v>Md Sobuj Mondal</v>
      </c>
      <c r="D34" s="278" t="str">
        <f>VLOOKUP(B34,'Salary -Dec-2024 (Full)'!$B$6:$D$383,3,0)</f>
        <v>Sr. Mechanic</v>
      </c>
      <c r="E34" s="256" t="str">
        <f>VLOOKUP(B34,'Salary -Dec-2024 (Full)'!$B$6:$AE$383,4,0)</f>
        <v>Technical</v>
      </c>
      <c r="F34" s="476">
        <f>VLOOKUP(B34,'Salary -Dec-2024 (Full)'!$B$6:$AE$383,5,0)</f>
        <v>45155</v>
      </c>
      <c r="G34" s="257">
        <f>VLOOKUP(B34,'Salary -Dec-2024 (Full)'!$B$6:$AE$286,6,0)</f>
        <v>31</v>
      </c>
      <c r="H34" s="258">
        <f>VLOOKUP(B34,'Salary -Dec-2024 (Full)'!$B$6:$AE$383,7,0)</f>
        <v>0</v>
      </c>
      <c r="I34" s="257">
        <f t="shared" ref="I34:I42" si="102">G34-H34</f>
        <v>31</v>
      </c>
      <c r="J34" s="258">
        <f t="shared" ref="J34:J42" si="103">Q34/G34</f>
        <v>796.77419354838707</v>
      </c>
      <c r="K34" s="72">
        <f>VLOOKUP(B34,'Salary -Dec-2024 (Full)'!$B$6:$AE$286,10,0)</f>
        <v>24700</v>
      </c>
      <c r="L34" s="72">
        <f t="shared" ref="L34" si="104">K34*60%</f>
        <v>14820</v>
      </c>
      <c r="M34" s="72">
        <f t="shared" ref="M34" si="105">K34*30%</f>
        <v>7410</v>
      </c>
      <c r="N34" s="72">
        <f t="shared" ref="N34" si="106">K34*6%</f>
        <v>1482</v>
      </c>
      <c r="O34" s="72">
        <f t="shared" ref="O34" si="107">K34*4%</f>
        <v>988</v>
      </c>
      <c r="P34" s="259"/>
      <c r="Q34" s="260">
        <f t="shared" ref="Q34" si="108">SUM(L34:P34)</f>
        <v>24700</v>
      </c>
      <c r="R34" s="188">
        <f>VLOOKUP(B34,'Salary -Dec-2024 (Full)'!$B$6:$AE$383,17,0)</f>
        <v>24700</v>
      </c>
      <c r="S34" s="192">
        <f>VLOOKUP(B34,'Salary -Dec-2024 (Full)'!$B$6:$AE$383,18,0)</f>
        <v>0</v>
      </c>
      <c r="T34" s="192">
        <f>VLOOKUP(B34,'Salary -Dec-2024 (Full)'!$B$6:$AE$383,19,0)</f>
        <v>0</v>
      </c>
      <c r="U34" s="337">
        <f>VLOOKUP(B34,'Salary -Dec-2024 (Full)'!$B$6:$AE$383,20,0)</f>
        <v>0</v>
      </c>
      <c r="V34" s="263">
        <f t="shared" ref="V34" si="109">SUM(R34:U34)</f>
        <v>24700</v>
      </c>
      <c r="W34" s="192">
        <f>VLOOKUP(B34,'Salary -Dec-2024 (Full)'!$B$6:$AE$383,22,0)</f>
        <v>0</v>
      </c>
      <c r="X34" s="192">
        <f>VLOOKUP(B34,'Salary -Dec-2024 (Full)'!$B$6:$AE$383,23,0)</f>
        <v>0</v>
      </c>
      <c r="Y34" s="337">
        <f>VLOOKUP(B34,'Salary -Dec-2024 (Full)'!$B$6:$AE$383,24,0)</f>
        <v>741</v>
      </c>
      <c r="Z34" s="192">
        <f>VLOOKUP(B34,'Salary -Dec-2024 (Full)'!$B$6:$AE$383,25,0)</f>
        <v>0</v>
      </c>
      <c r="AA34" s="192">
        <f>VLOOKUP(B34,'Salary -Dec-2024 (Full)'!$B$6:$AE$383,26,0)</f>
        <v>0</v>
      </c>
      <c r="AB34" s="384">
        <f t="shared" si="94"/>
        <v>741</v>
      </c>
      <c r="AC34" s="193">
        <f t="shared" si="95"/>
        <v>23959</v>
      </c>
      <c r="AD34" s="264" t="str">
        <f>VLOOKUP(B34,'Salary -Dec-2024 (Full)'!$B$6:$AE$383,29,0)</f>
        <v>Bank</v>
      </c>
      <c r="AE34" s="264" t="str">
        <f>VLOOKUP(B34,'Salary -Dec-2024 (Full)'!$B$6:$AE$383,30,0)</f>
        <v>163.158.0086001</v>
      </c>
      <c r="AG34" s="61"/>
      <c r="AH34" s="183"/>
      <c r="AI34" s="319"/>
    </row>
    <row r="35" spans="1:35" s="47" customFormat="1" ht="24" customHeight="1">
      <c r="A35" s="253">
        <v>11</v>
      </c>
      <c r="B35" s="254" t="s">
        <v>866</v>
      </c>
      <c r="C35" s="255" t="str">
        <f>VLOOKUP(B35,'Salary -Dec-2024 (Full)'!$B$6:$D$383,2,0)</f>
        <v>Byron Sarkar</v>
      </c>
      <c r="D35" s="278" t="str">
        <f>VLOOKUP(B35,'Salary -Dec-2024 (Full)'!$B$6:$D$383,3,0)</f>
        <v>Mechanic</v>
      </c>
      <c r="E35" s="256" t="str">
        <f>VLOOKUP(B35,'Salary -Dec-2024 (Full)'!$B$6:$AE$383,4,0)</f>
        <v>Technical</v>
      </c>
      <c r="F35" s="476">
        <f>VLOOKUP(B35,'Salary -Dec-2024 (Full)'!$B$6:$AE$383,5,0)</f>
        <v>45157</v>
      </c>
      <c r="G35" s="257">
        <f>VLOOKUP(B35,'Salary -Dec-2024 (Full)'!$B$6:$AE$286,6,0)</f>
        <v>31</v>
      </c>
      <c r="H35" s="258">
        <f>VLOOKUP(B35,'Salary -Dec-2024 (Full)'!$B$6:$AE$383,7,0)</f>
        <v>0</v>
      </c>
      <c r="I35" s="257">
        <f t="shared" si="102"/>
        <v>31</v>
      </c>
      <c r="J35" s="258">
        <f t="shared" si="103"/>
        <v>677.41935483870964</v>
      </c>
      <c r="K35" s="72">
        <f>VLOOKUP(B35,'Salary -Dec-2024 (Full)'!$B$6:$AE$286,10,0)</f>
        <v>21000</v>
      </c>
      <c r="L35" s="72">
        <f t="shared" si="96"/>
        <v>12600</v>
      </c>
      <c r="M35" s="72">
        <f t="shared" si="97"/>
        <v>6300</v>
      </c>
      <c r="N35" s="72">
        <f t="shared" si="98"/>
        <v>1260</v>
      </c>
      <c r="O35" s="72">
        <f t="shared" si="99"/>
        <v>840</v>
      </c>
      <c r="P35" s="259"/>
      <c r="Q35" s="260">
        <f t="shared" si="100"/>
        <v>21000</v>
      </c>
      <c r="R35" s="188">
        <f>VLOOKUP(B35,'Salary -Dec-2024 (Full)'!$B$6:$AE$383,17,0)</f>
        <v>21000</v>
      </c>
      <c r="S35" s="192">
        <f>VLOOKUP(B35,'Salary -Dec-2024 (Full)'!$B$6:$AE$383,18,0)</f>
        <v>0</v>
      </c>
      <c r="T35" s="192">
        <f>VLOOKUP(B35,'Salary -Dec-2024 (Full)'!$B$6:$AE$383,19,0)</f>
        <v>0</v>
      </c>
      <c r="U35" s="337">
        <f>VLOOKUP(B35,'Salary -Dec-2024 (Full)'!$B$6:$AE$383,20,0)</f>
        <v>0</v>
      </c>
      <c r="V35" s="263">
        <f t="shared" si="101"/>
        <v>21000</v>
      </c>
      <c r="W35" s="192">
        <f>VLOOKUP(B35,'Salary -Dec-2024 (Full)'!$B$6:$AE$383,22,0)</f>
        <v>0</v>
      </c>
      <c r="X35" s="192">
        <f>VLOOKUP(B35,'Salary -Dec-2024 (Full)'!$B$6:$AE$383,23,0)</f>
        <v>0</v>
      </c>
      <c r="Y35" s="337">
        <f>VLOOKUP(B35,'Salary -Dec-2024 (Full)'!$B$6:$AE$383,24,0)</f>
        <v>630</v>
      </c>
      <c r="Z35" s="192">
        <f>VLOOKUP(B35,'Salary -Dec-2024 (Full)'!$B$6:$AE$383,25,0)</f>
        <v>0</v>
      </c>
      <c r="AA35" s="192">
        <f>VLOOKUP(B35,'Salary -Dec-2024 (Full)'!$B$6:$AE$383,26,0)</f>
        <v>0</v>
      </c>
      <c r="AB35" s="384">
        <f t="shared" si="94"/>
        <v>630</v>
      </c>
      <c r="AC35" s="193">
        <f t="shared" si="95"/>
        <v>20370</v>
      </c>
      <c r="AD35" s="264" t="str">
        <f>VLOOKUP(B35,'Salary -Dec-2024 (Full)'!$B$6:$AE$383,29,0)</f>
        <v>Bank</v>
      </c>
      <c r="AE35" s="264" t="str">
        <f>VLOOKUP(B35,'Salary -Dec-2024 (Full)'!$B$6:$AE$383,30,0)</f>
        <v>156.158.0097461</v>
      </c>
      <c r="AG35" s="61"/>
      <c r="AH35" s="183"/>
      <c r="AI35" s="319"/>
    </row>
    <row r="36" spans="1:35" s="47" customFormat="1" ht="24" customHeight="1">
      <c r="A36" s="253">
        <v>12</v>
      </c>
      <c r="B36" s="254" t="s">
        <v>868</v>
      </c>
      <c r="C36" s="255" t="str">
        <f>VLOOKUP(B36,'Salary -Dec-2024 (Full)'!$B$6:$D$383,2,0)</f>
        <v>Modhu Sudhan Dev Sharma</v>
      </c>
      <c r="D36" s="278" t="str">
        <f>VLOOKUP(B36,'Salary -Dec-2024 (Full)'!$B$6:$D$383,3,0)</f>
        <v>Mechanic</v>
      </c>
      <c r="E36" s="256" t="str">
        <f>VLOOKUP(B36,'Salary -Dec-2024 (Full)'!$B$6:$AE$383,4,0)</f>
        <v>Technical</v>
      </c>
      <c r="F36" s="476">
        <f>VLOOKUP(B36,'Salary -Dec-2024 (Full)'!$B$6:$AE$383,5,0)</f>
        <v>45160</v>
      </c>
      <c r="G36" s="257">
        <f>VLOOKUP(B36,'Salary -Dec-2024 (Full)'!$B$6:$AE$286,6,0)</f>
        <v>31</v>
      </c>
      <c r="H36" s="258">
        <f>VLOOKUP(B36,'Salary -Dec-2024 (Full)'!$B$6:$AE$383,7,0)</f>
        <v>0</v>
      </c>
      <c r="I36" s="257">
        <f t="shared" si="102"/>
        <v>31</v>
      </c>
      <c r="J36" s="258">
        <f t="shared" si="103"/>
        <v>745.16129032258061</v>
      </c>
      <c r="K36" s="72">
        <f>VLOOKUP(B36,'Salary -Dec-2024 (Full)'!$B$6:$AE$286,10,0)</f>
        <v>23100</v>
      </c>
      <c r="L36" s="72">
        <f t="shared" si="96"/>
        <v>13860</v>
      </c>
      <c r="M36" s="72">
        <f t="shared" si="97"/>
        <v>6930</v>
      </c>
      <c r="N36" s="72">
        <f t="shared" si="98"/>
        <v>1386</v>
      </c>
      <c r="O36" s="72">
        <f t="shared" si="99"/>
        <v>924</v>
      </c>
      <c r="P36" s="259"/>
      <c r="Q36" s="260">
        <f t="shared" si="100"/>
        <v>23100</v>
      </c>
      <c r="R36" s="188">
        <f>VLOOKUP(B36,'Salary -Dec-2024 (Full)'!$B$6:$AE$383,17,0)</f>
        <v>23100</v>
      </c>
      <c r="S36" s="192">
        <f>VLOOKUP(B36,'Salary -Dec-2024 (Full)'!$B$6:$AE$383,18,0)</f>
        <v>0</v>
      </c>
      <c r="T36" s="192">
        <f>VLOOKUP(B36,'Salary -Dec-2024 (Full)'!$B$6:$AE$383,19,0)</f>
        <v>0</v>
      </c>
      <c r="U36" s="337">
        <f>VLOOKUP(B36,'Salary -Dec-2024 (Full)'!$B$6:$AE$383,20,0)</f>
        <v>0</v>
      </c>
      <c r="V36" s="263">
        <f t="shared" si="101"/>
        <v>23100</v>
      </c>
      <c r="W36" s="192">
        <f>VLOOKUP(B36,'Salary -Dec-2024 (Full)'!$B$6:$AE$383,22,0)</f>
        <v>0</v>
      </c>
      <c r="X36" s="192">
        <f>VLOOKUP(B36,'Salary -Dec-2024 (Full)'!$B$6:$AE$383,23,0)</f>
        <v>0</v>
      </c>
      <c r="Y36" s="337">
        <f>VLOOKUP(B36,'Salary -Dec-2024 (Full)'!$B$6:$AE$383,24,0)</f>
        <v>693</v>
      </c>
      <c r="Z36" s="192">
        <f>VLOOKUP(B36,'Salary -Dec-2024 (Full)'!$B$6:$AE$383,25,0)</f>
        <v>2000</v>
      </c>
      <c r="AA36" s="192">
        <f>VLOOKUP(B36,'Salary -Dec-2024 (Full)'!$B$6:$AE$383,26,0)</f>
        <v>0</v>
      </c>
      <c r="AB36" s="384">
        <f t="shared" si="94"/>
        <v>2693</v>
      </c>
      <c r="AC36" s="193">
        <f t="shared" si="95"/>
        <v>20407</v>
      </c>
      <c r="AD36" s="264" t="str">
        <f>VLOOKUP(B36,'Salary -Dec-2024 (Full)'!$B$6:$AE$383,29,0)</f>
        <v>Bank</v>
      </c>
      <c r="AE36" s="264" t="str">
        <f>VLOOKUP(B36,'Salary -Dec-2024 (Full)'!$B$6:$AE$383,30,0)</f>
        <v>172.158.0077884</v>
      </c>
      <c r="AG36" s="61"/>
      <c r="AH36" s="183"/>
      <c r="AI36" s="319"/>
    </row>
    <row r="37" spans="1:35" s="47" customFormat="1" ht="24" customHeight="1">
      <c r="A37" s="253">
        <v>13</v>
      </c>
      <c r="B37" s="254" t="s">
        <v>903</v>
      </c>
      <c r="C37" s="255" t="str">
        <f>VLOOKUP(B37,'Salary -Dec-2024 (Full)'!$B$6:$D$383,2,0)</f>
        <v>Md Rabbi Hossain</v>
      </c>
      <c r="D37" s="278" t="str">
        <f>VLOOKUP(B37,'Salary -Dec-2024 (Full)'!$B$6:$D$383,3,0)</f>
        <v>Mechanic</v>
      </c>
      <c r="E37" s="256" t="str">
        <f>VLOOKUP(B37,'Salary -Dec-2024 (Full)'!$B$6:$AE$383,4,0)</f>
        <v>Technical</v>
      </c>
      <c r="F37" s="476">
        <f>VLOOKUP(B37,'Salary -Dec-2024 (Full)'!$B$6:$AE$383,5,0)</f>
        <v>45181</v>
      </c>
      <c r="G37" s="257">
        <f>VLOOKUP(B37,'Salary -Dec-2024 (Full)'!$B$6:$AE$286,6,0)</f>
        <v>31</v>
      </c>
      <c r="H37" s="258">
        <f>VLOOKUP(B37,'Salary -Dec-2024 (Full)'!$B$6:$AE$383,7,0)</f>
        <v>0</v>
      </c>
      <c r="I37" s="257">
        <f t="shared" si="102"/>
        <v>31</v>
      </c>
      <c r="J37" s="258">
        <f t="shared" si="103"/>
        <v>709.67741935483866</v>
      </c>
      <c r="K37" s="72">
        <f>VLOOKUP(B37,'Salary -Dec-2024 (Full)'!$B$6:$AE$286,10,0)</f>
        <v>22000</v>
      </c>
      <c r="L37" s="72">
        <f t="shared" ref="L37:L42" si="110">K37*60%</f>
        <v>13200</v>
      </c>
      <c r="M37" s="72">
        <f t="shared" ref="M37:M42" si="111">K37*30%</f>
        <v>6600</v>
      </c>
      <c r="N37" s="72">
        <f t="shared" ref="N37:N42" si="112">K37*6%</f>
        <v>1320</v>
      </c>
      <c r="O37" s="72">
        <f t="shared" ref="O37:O42" si="113">K37*4%</f>
        <v>880</v>
      </c>
      <c r="P37" s="259"/>
      <c r="Q37" s="260">
        <f t="shared" ref="Q37:Q42" si="114">SUM(L37:P37)</f>
        <v>22000</v>
      </c>
      <c r="R37" s="188">
        <f>VLOOKUP(B37,'Salary -Dec-2024 (Full)'!$B$6:$AE$383,17,0)</f>
        <v>22000</v>
      </c>
      <c r="S37" s="192">
        <f>VLOOKUP(B37,'Salary -Dec-2024 (Full)'!$B$6:$AE$383,18,0)</f>
        <v>0</v>
      </c>
      <c r="T37" s="192">
        <f>VLOOKUP(B37,'Salary -Dec-2024 (Full)'!$B$6:$AE$383,19,0)</f>
        <v>0</v>
      </c>
      <c r="U37" s="337">
        <f>VLOOKUP(B37,'Salary -Dec-2024 (Full)'!$B$6:$AE$383,20,0)</f>
        <v>0</v>
      </c>
      <c r="V37" s="263">
        <f t="shared" ref="V37:V42" si="115">SUM(R37:U37)</f>
        <v>22000</v>
      </c>
      <c r="W37" s="192">
        <f>VLOOKUP(B37,'Salary -Dec-2024 (Full)'!$B$6:$AE$383,22,0)</f>
        <v>0</v>
      </c>
      <c r="X37" s="192">
        <f>VLOOKUP(B37,'Salary -Dec-2024 (Full)'!$B$6:$AE$383,23,0)</f>
        <v>0</v>
      </c>
      <c r="Y37" s="337">
        <f>VLOOKUP(B37,'Salary -Dec-2024 (Full)'!$B$6:$AE$383,24,0)</f>
        <v>660</v>
      </c>
      <c r="Z37" s="192">
        <f>VLOOKUP(B37,'Salary -Dec-2024 (Full)'!$B$6:$AE$383,25,0)</f>
        <v>0</v>
      </c>
      <c r="AA37" s="192">
        <f>VLOOKUP(B37,'Salary -Dec-2024 (Full)'!$B$6:$AE$383,26,0)</f>
        <v>0</v>
      </c>
      <c r="AB37" s="384">
        <f t="shared" si="94"/>
        <v>660</v>
      </c>
      <c r="AC37" s="193">
        <f t="shared" si="95"/>
        <v>21340</v>
      </c>
      <c r="AD37" s="264" t="str">
        <f>VLOOKUP(B37,'Salary -Dec-2024 (Full)'!$B$6:$AE$383,29,0)</f>
        <v>Bank</v>
      </c>
      <c r="AE37" s="264" t="str">
        <f>VLOOKUP(B37,'Salary -Dec-2024 (Full)'!$B$6:$AE$383,30,0)</f>
        <v>135.158.0003415</v>
      </c>
      <c r="AG37" s="61"/>
      <c r="AH37" s="183"/>
      <c r="AI37" s="319"/>
    </row>
    <row r="38" spans="1:35" s="47" customFormat="1" ht="24" customHeight="1">
      <c r="A38" s="253">
        <v>14</v>
      </c>
      <c r="B38" s="254" t="s">
        <v>910</v>
      </c>
      <c r="C38" s="255" t="str">
        <f>VLOOKUP(B38,'Salary -Dec-2024 (Full)'!$B$6:$D$383,2,0)</f>
        <v>Md Monir Hossain</v>
      </c>
      <c r="D38" s="278" t="str">
        <f>VLOOKUP(B38,'Salary -Dec-2024 (Full)'!$B$6:$D$383,3,0)</f>
        <v>Mechanic</v>
      </c>
      <c r="E38" s="256" t="str">
        <f>VLOOKUP(B38,'Salary -Dec-2024 (Full)'!$B$6:$AE$383,4,0)</f>
        <v>Technical</v>
      </c>
      <c r="F38" s="476">
        <f>VLOOKUP(B38,'Salary -Dec-2024 (Full)'!$B$6:$AE$383,5,0)</f>
        <v>45183</v>
      </c>
      <c r="G38" s="257">
        <f>VLOOKUP(B38,'Salary -Dec-2024 (Full)'!$B$6:$AE$286,6,0)</f>
        <v>31</v>
      </c>
      <c r="H38" s="258">
        <f>VLOOKUP(B38,'Salary -Dec-2024 (Full)'!$B$6:$AE$383,7,0)</f>
        <v>0</v>
      </c>
      <c r="I38" s="257">
        <f t="shared" si="102"/>
        <v>31</v>
      </c>
      <c r="J38" s="258">
        <f t="shared" si="103"/>
        <v>693.54838709677415</v>
      </c>
      <c r="K38" s="72">
        <f>VLOOKUP(B38,'Salary -Dec-2024 (Full)'!$B$6:$AE$286,10,0)</f>
        <v>21500</v>
      </c>
      <c r="L38" s="72">
        <f t="shared" si="110"/>
        <v>12900</v>
      </c>
      <c r="M38" s="72">
        <f t="shared" si="111"/>
        <v>6450</v>
      </c>
      <c r="N38" s="72">
        <f t="shared" si="112"/>
        <v>1290</v>
      </c>
      <c r="O38" s="72">
        <f t="shared" si="113"/>
        <v>860</v>
      </c>
      <c r="P38" s="259"/>
      <c r="Q38" s="260">
        <f t="shared" si="114"/>
        <v>21500</v>
      </c>
      <c r="R38" s="188">
        <f>VLOOKUP(B38,'Salary -Dec-2024 (Full)'!$B$6:$AE$383,17,0)</f>
        <v>21500</v>
      </c>
      <c r="S38" s="192">
        <f>VLOOKUP(B38,'Salary -Dec-2024 (Full)'!$B$6:$AE$383,18,0)</f>
        <v>0</v>
      </c>
      <c r="T38" s="192">
        <f>VLOOKUP(B38,'Salary -Dec-2024 (Full)'!$B$6:$AE$383,19,0)</f>
        <v>0</v>
      </c>
      <c r="U38" s="337">
        <f>VLOOKUP(B38,'Salary -Dec-2024 (Full)'!$B$6:$AE$383,20,0)</f>
        <v>0</v>
      </c>
      <c r="V38" s="263">
        <f t="shared" si="115"/>
        <v>21500</v>
      </c>
      <c r="W38" s="192">
        <f>VLOOKUP(B38,'Salary -Dec-2024 (Full)'!$B$6:$AE$383,22,0)</f>
        <v>0</v>
      </c>
      <c r="X38" s="192">
        <f>VLOOKUP(B38,'Salary -Dec-2024 (Full)'!$B$6:$AE$383,23,0)</f>
        <v>0</v>
      </c>
      <c r="Y38" s="337">
        <f>VLOOKUP(B38,'Salary -Dec-2024 (Full)'!$B$6:$AE$383,24,0)</f>
        <v>645</v>
      </c>
      <c r="Z38" s="192">
        <f>VLOOKUP(B38,'Salary -Dec-2024 (Full)'!$B$6:$AE$383,25,0)</f>
        <v>2000</v>
      </c>
      <c r="AA38" s="192">
        <f>VLOOKUP(B38,'Salary -Dec-2024 (Full)'!$B$6:$AE$383,26,0)</f>
        <v>0</v>
      </c>
      <c r="AB38" s="384">
        <f t="shared" si="94"/>
        <v>2645</v>
      </c>
      <c r="AC38" s="193">
        <f t="shared" si="95"/>
        <v>18855</v>
      </c>
      <c r="AD38" s="264" t="str">
        <f>VLOOKUP(B38,'Salary -Dec-2024 (Full)'!$B$6:$AE$383,29,0)</f>
        <v>Bank</v>
      </c>
      <c r="AE38" s="264" t="str">
        <f>VLOOKUP(B38,'Salary -Dec-2024 (Full)'!$B$6:$AE$383,30,0)</f>
        <v>176.103.0059883</v>
      </c>
      <c r="AG38" s="61"/>
      <c r="AH38" s="183"/>
      <c r="AI38" s="319"/>
    </row>
    <row r="39" spans="1:35" s="47" customFormat="1" ht="24" customHeight="1">
      <c r="A39" s="253">
        <v>15</v>
      </c>
      <c r="B39" s="254" t="s">
        <v>916</v>
      </c>
      <c r="C39" s="255" t="str">
        <f>VLOOKUP(B39,'Salary -Dec-2024 (Full)'!$B$6:$D$383,2,0)</f>
        <v>Babul Miah</v>
      </c>
      <c r="D39" s="278" t="str">
        <f>VLOOKUP(B39,'Salary -Dec-2024 (Full)'!$B$6:$D$383,3,0)</f>
        <v>Mechanic</v>
      </c>
      <c r="E39" s="256" t="str">
        <f>VLOOKUP(B39,'Salary -Dec-2024 (Full)'!$B$6:$AE$383,4,0)</f>
        <v>Technical</v>
      </c>
      <c r="F39" s="476">
        <f>VLOOKUP(B39,'Salary -Dec-2024 (Full)'!$B$6:$AE$383,5,0)</f>
        <v>45185</v>
      </c>
      <c r="G39" s="257">
        <f>VLOOKUP(B39,'Salary -Dec-2024 (Full)'!$B$6:$AE$286,6,0)</f>
        <v>31</v>
      </c>
      <c r="H39" s="258">
        <f>VLOOKUP(B39,'Salary -Dec-2024 (Full)'!$B$6:$AE$383,7,0)</f>
        <v>0</v>
      </c>
      <c r="I39" s="257">
        <f t="shared" si="102"/>
        <v>31</v>
      </c>
      <c r="J39" s="258">
        <f t="shared" si="103"/>
        <v>645.16129032258061</v>
      </c>
      <c r="K39" s="72">
        <f>VLOOKUP(B39,'Salary -Dec-2024 (Full)'!$B$6:$AE$286,10,0)</f>
        <v>20000</v>
      </c>
      <c r="L39" s="72">
        <f t="shared" si="110"/>
        <v>12000</v>
      </c>
      <c r="M39" s="72">
        <f t="shared" si="111"/>
        <v>6000</v>
      </c>
      <c r="N39" s="72">
        <f t="shared" si="112"/>
        <v>1200</v>
      </c>
      <c r="O39" s="72">
        <f t="shared" si="113"/>
        <v>800</v>
      </c>
      <c r="P39" s="259"/>
      <c r="Q39" s="260">
        <f t="shared" si="114"/>
        <v>20000</v>
      </c>
      <c r="R39" s="188">
        <f>VLOOKUP(B39,'Salary -Dec-2024 (Full)'!$B$6:$AE$383,17,0)</f>
        <v>20000</v>
      </c>
      <c r="S39" s="192">
        <f>VLOOKUP(B39,'Salary -Dec-2024 (Full)'!$B$6:$AE$383,18,0)</f>
        <v>0</v>
      </c>
      <c r="T39" s="192">
        <f>VLOOKUP(B39,'Salary -Dec-2024 (Full)'!$B$6:$AE$383,19,0)</f>
        <v>0</v>
      </c>
      <c r="U39" s="337">
        <f>VLOOKUP(B39,'Salary -Dec-2024 (Full)'!$B$6:$AE$383,20,0)</f>
        <v>0</v>
      </c>
      <c r="V39" s="263">
        <f t="shared" si="115"/>
        <v>20000</v>
      </c>
      <c r="W39" s="192">
        <f>VLOOKUP(B39,'Salary -Dec-2024 (Full)'!$B$6:$AE$383,22,0)</f>
        <v>0</v>
      </c>
      <c r="X39" s="192">
        <f>VLOOKUP(B39,'Salary -Dec-2024 (Full)'!$B$6:$AE$383,23,0)</f>
        <v>0</v>
      </c>
      <c r="Y39" s="337">
        <f>VLOOKUP(B39,'Salary -Dec-2024 (Full)'!$B$6:$AE$383,24,0)</f>
        <v>600</v>
      </c>
      <c r="Z39" s="192">
        <f>VLOOKUP(B39,'Salary -Dec-2024 (Full)'!$B$6:$AE$383,25,0)</f>
        <v>0</v>
      </c>
      <c r="AA39" s="192">
        <f>VLOOKUP(B39,'Salary -Dec-2024 (Full)'!$B$6:$AE$383,26,0)</f>
        <v>0</v>
      </c>
      <c r="AB39" s="384">
        <f t="shared" ref="AB39:AB53" si="116">SUM(W39:AA39)</f>
        <v>600</v>
      </c>
      <c r="AC39" s="193">
        <f t="shared" ref="AC39:AC53" si="117">ROUND(V39-AB39,0)</f>
        <v>19400</v>
      </c>
      <c r="AD39" s="264" t="str">
        <f>VLOOKUP(B39,'Salary -Dec-2024 (Full)'!$B$6:$AE$383,29,0)</f>
        <v>Bank</v>
      </c>
      <c r="AE39" s="264" t="str">
        <f>VLOOKUP(B39,'Salary -Dec-2024 (Full)'!$B$6:$AE$383,30,0)</f>
        <v>194.158.0038755</v>
      </c>
      <c r="AG39" s="61"/>
      <c r="AH39" s="183"/>
      <c r="AI39" s="319"/>
    </row>
    <row r="40" spans="1:35" s="47" customFormat="1" ht="24" customHeight="1">
      <c r="A40" s="253">
        <v>16</v>
      </c>
      <c r="B40" s="254" t="s">
        <v>918</v>
      </c>
      <c r="C40" s="255" t="str">
        <f>VLOOKUP(B40,'Salary -Dec-2024 (Full)'!$B$6:$D$383,2,0)</f>
        <v>Md Raihan Hossain</v>
      </c>
      <c r="D40" s="278" t="str">
        <f>VLOOKUP(B40,'Salary -Dec-2024 (Full)'!$B$6:$D$383,3,0)</f>
        <v>Mechanic</v>
      </c>
      <c r="E40" s="256" t="str">
        <f>VLOOKUP(B40,'Salary -Dec-2024 (Full)'!$B$6:$AE$383,4,0)</f>
        <v>Technical</v>
      </c>
      <c r="F40" s="476">
        <f>VLOOKUP(B40,'Salary -Dec-2024 (Full)'!$B$6:$AE$383,5,0)</f>
        <v>45185</v>
      </c>
      <c r="G40" s="257">
        <f>VLOOKUP(B40,'Salary -Dec-2024 (Full)'!$B$6:$AE$286,6,0)</f>
        <v>31</v>
      </c>
      <c r="H40" s="258">
        <f>VLOOKUP(B40,'Salary -Dec-2024 (Full)'!$B$6:$AE$383,7,0)</f>
        <v>0</v>
      </c>
      <c r="I40" s="257">
        <f t="shared" si="102"/>
        <v>31</v>
      </c>
      <c r="J40" s="258">
        <f t="shared" si="103"/>
        <v>612.90322580645159</v>
      </c>
      <c r="K40" s="72">
        <f>VLOOKUP(B40,'Salary -Dec-2024 (Full)'!$B$6:$AE$286,10,0)</f>
        <v>19000</v>
      </c>
      <c r="L40" s="72">
        <f t="shared" si="110"/>
        <v>11400</v>
      </c>
      <c r="M40" s="72">
        <f t="shared" si="111"/>
        <v>5700</v>
      </c>
      <c r="N40" s="72">
        <f t="shared" si="112"/>
        <v>1140</v>
      </c>
      <c r="O40" s="72">
        <f t="shared" si="113"/>
        <v>760</v>
      </c>
      <c r="P40" s="259"/>
      <c r="Q40" s="260">
        <f t="shared" si="114"/>
        <v>19000</v>
      </c>
      <c r="R40" s="188">
        <f>VLOOKUP(B40,'Salary -Dec-2024 (Full)'!$B$6:$AE$383,17,0)</f>
        <v>19000</v>
      </c>
      <c r="S40" s="192">
        <f>VLOOKUP(B40,'Salary -Dec-2024 (Full)'!$B$6:$AE$383,18,0)</f>
        <v>0</v>
      </c>
      <c r="T40" s="192">
        <f>VLOOKUP(B40,'Salary -Dec-2024 (Full)'!$B$6:$AE$383,19,0)</f>
        <v>0</v>
      </c>
      <c r="U40" s="337">
        <f>VLOOKUP(B40,'Salary -Dec-2024 (Full)'!$B$6:$AE$383,20,0)</f>
        <v>0</v>
      </c>
      <c r="V40" s="263">
        <f t="shared" si="115"/>
        <v>19000</v>
      </c>
      <c r="W40" s="192">
        <f>VLOOKUP(B40,'Salary -Dec-2024 (Full)'!$B$6:$AE$383,22,0)</f>
        <v>0</v>
      </c>
      <c r="X40" s="192">
        <f>VLOOKUP(B40,'Salary -Dec-2024 (Full)'!$B$6:$AE$383,23,0)</f>
        <v>0</v>
      </c>
      <c r="Y40" s="337">
        <f>VLOOKUP(B40,'Salary -Dec-2024 (Full)'!$B$6:$AE$383,24,0)</f>
        <v>570</v>
      </c>
      <c r="Z40" s="192">
        <f>VLOOKUP(B40,'Salary -Dec-2024 (Full)'!$B$6:$AE$383,25,0)</f>
        <v>2000</v>
      </c>
      <c r="AA40" s="192">
        <f>VLOOKUP(B40,'Salary -Dec-2024 (Full)'!$B$6:$AE$383,26,0)</f>
        <v>0</v>
      </c>
      <c r="AB40" s="384">
        <f t="shared" si="116"/>
        <v>2570</v>
      </c>
      <c r="AC40" s="193">
        <f t="shared" si="117"/>
        <v>16430</v>
      </c>
      <c r="AD40" s="264" t="str">
        <f>VLOOKUP(B40,'Salary -Dec-2024 (Full)'!$B$6:$AE$383,29,0)</f>
        <v>Bank</v>
      </c>
      <c r="AE40" s="264" t="str">
        <f>VLOOKUP(B40,'Salary -Dec-2024 (Full)'!$B$6:$AE$383,30,0)</f>
        <v>248.158.0071471</v>
      </c>
      <c r="AG40" s="61"/>
      <c r="AH40" s="183"/>
      <c r="AI40" s="319"/>
    </row>
    <row r="41" spans="1:35" s="47" customFormat="1" ht="24" customHeight="1">
      <c r="A41" s="253">
        <v>17</v>
      </c>
      <c r="B41" s="254" t="s">
        <v>920</v>
      </c>
      <c r="C41" s="255" t="str">
        <f>VLOOKUP(B41,'Salary -Dec-2024 (Full)'!$B$6:$D$383,2,0)</f>
        <v>Hamza Masud</v>
      </c>
      <c r="D41" s="278" t="str">
        <f>VLOOKUP(B41,'Salary -Dec-2024 (Full)'!$B$6:$D$383,3,0)</f>
        <v>Mechanic</v>
      </c>
      <c r="E41" s="256" t="str">
        <f>VLOOKUP(B41,'Salary -Dec-2024 (Full)'!$B$6:$AE$383,4,0)</f>
        <v>Technical</v>
      </c>
      <c r="F41" s="476">
        <f>VLOOKUP(B41,'Salary -Dec-2024 (Full)'!$B$6:$AE$383,5,0)</f>
        <v>45185</v>
      </c>
      <c r="G41" s="257">
        <f>VLOOKUP(B41,'Salary -Dec-2024 (Full)'!$B$6:$AE$286,6,0)</f>
        <v>31</v>
      </c>
      <c r="H41" s="258">
        <f>VLOOKUP(B41,'Salary -Dec-2024 (Full)'!$B$6:$AE$383,7,0)</f>
        <v>28</v>
      </c>
      <c r="I41" s="257">
        <f t="shared" si="102"/>
        <v>3</v>
      </c>
      <c r="J41" s="258">
        <f t="shared" si="103"/>
        <v>645.16129032258061</v>
      </c>
      <c r="K41" s="72">
        <f>VLOOKUP(B41,'Salary -Dec-2024 (Full)'!$B$6:$AE$286,10,0)</f>
        <v>20000</v>
      </c>
      <c r="L41" s="72">
        <f t="shared" si="110"/>
        <v>12000</v>
      </c>
      <c r="M41" s="72">
        <f t="shared" si="111"/>
        <v>6000</v>
      </c>
      <c r="N41" s="72">
        <f t="shared" si="112"/>
        <v>1200</v>
      </c>
      <c r="O41" s="72">
        <f t="shared" si="113"/>
        <v>800</v>
      </c>
      <c r="P41" s="259"/>
      <c r="Q41" s="260">
        <f t="shared" si="114"/>
        <v>20000</v>
      </c>
      <c r="R41" s="188">
        <f>VLOOKUP(B41,'Salary -Dec-2024 (Full)'!$B$6:$AE$383,17,0)</f>
        <v>1935</v>
      </c>
      <c r="S41" s="192">
        <f>VLOOKUP(B41,'Salary -Dec-2024 (Full)'!$B$6:$AE$383,18,0)</f>
        <v>0</v>
      </c>
      <c r="T41" s="192">
        <f>VLOOKUP(B41,'Salary -Dec-2024 (Full)'!$B$6:$AE$383,19,0)</f>
        <v>0</v>
      </c>
      <c r="U41" s="337">
        <f>VLOOKUP(B41,'Salary -Dec-2024 (Full)'!$B$6:$AE$383,20,0)</f>
        <v>0</v>
      </c>
      <c r="V41" s="263">
        <f t="shared" si="115"/>
        <v>1935</v>
      </c>
      <c r="W41" s="192">
        <f>VLOOKUP(B41,'Salary -Dec-2024 (Full)'!$B$6:$AE$383,22,0)</f>
        <v>0</v>
      </c>
      <c r="X41" s="192">
        <f>VLOOKUP(B41,'Salary -Dec-2024 (Full)'!$B$6:$AE$383,23,0)</f>
        <v>0</v>
      </c>
      <c r="Y41" s="337">
        <f>VLOOKUP(B41,'Salary -Dec-2024 (Full)'!$B$6:$AE$383,24,0)</f>
        <v>600</v>
      </c>
      <c r="Z41" s="192">
        <f>VLOOKUP(B41,'Salary -Dec-2024 (Full)'!$B$6:$AE$383,25,0)</f>
        <v>842</v>
      </c>
      <c r="AA41" s="192">
        <f>VLOOKUP(B41,'Salary -Dec-2024 (Full)'!$B$6:$AE$383,26,0)</f>
        <v>0</v>
      </c>
      <c r="AB41" s="384">
        <f t="shared" si="116"/>
        <v>1442</v>
      </c>
      <c r="AC41" s="193">
        <f t="shared" si="117"/>
        <v>493</v>
      </c>
      <c r="AD41" s="264" t="str">
        <f>VLOOKUP(B41,'Salary -Dec-2024 (Full)'!$B$6:$AE$383,29,0)</f>
        <v>Cash</v>
      </c>
      <c r="AE41" s="264" t="str">
        <f>VLOOKUP(B41,'Salary -Dec-2024 (Full)'!$B$6:$AE$383,30,0)</f>
        <v>Resign</v>
      </c>
      <c r="AG41" s="61"/>
      <c r="AH41" s="183"/>
      <c r="AI41" s="319"/>
    </row>
    <row r="42" spans="1:35" s="47" customFormat="1" ht="24" customHeight="1">
      <c r="A42" s="253">
        <v>18</v>
      </c>
      <c r="B42" s="254" t="s">
        <v>931</v>
      </c>
      <c r="C42" s="255" t="str">
        <f>VLOOKUP(B42,'Salary -Dec-2024 (Full)'!$B$6:$D$383,2,0)</f>
        <v>Md Nishad Hossain</v>
      </c>
      <c r="D42" s="278" t="str">
        <f>VLOOKUP(B42,'Salary -Dec-2024 (Full)'!$B$6:$D$383,3,0)</f>
        <v>Mechanic</v>
      </c>
      <c r="E42" s="256" t="str">
        <f>VLOOKUP(B42,'Salary -Dec-2024 (Full)'!$B$6:$AE$383,4,0)</f>
        <v>Technical</v>
      </c>
      <c r="F42" s="476">
        <f>VLOOKUP(B42,'Salary -Dec-2024 (Full)'!$B$6:$AE$383,5,0)</f>
        <v>45197</v>
      </c>
      <c r="G42" s="257">
        <f>VLOOKUP(B42,'Salary -Dec-2024 (Full)'!$B$6:$AE$286,6,0)</f>
        <v>31</v>
      </c>
      <c r="H42" s="258">
        <f>VLOOKUP(B42,'Salary -Dec-2024 (Full)'!$B$6:$AE$383,7,0)</f>
        <v>0</v>
      </c>
      <c r="I42" s="257">
        <f t="shared" si="102"/>
        <v>31</v>
      </c>
      <c r="J42" s="258">
        <f t="shared" si="103"/>
        <v>580.64516129032256</v>
      </c>
      <c r="K42" s="72">
        <f>VLOOKUP(B42,'Salary -Dec-2024 (Full)'!$B$6:$AE$286,10,0)</f>
        <v>18000</v>
      </c>
      <c r="L42" s="72">
        <f t="shared" si="110"/>
        <v>10800</v>
      </c>
      <c r="M42" s="72">
        <f t="shared" si="111"/>
        <v>5400</v>
      </c>
      <c r="N42" s="72">
        <f t="shared" si="112"/>
        <v>1080</v>
      </c>
      <c r="O42" s="72">
        <f t="shared" si="113"/>
        <v>720</v>
      </c>
      <c r="P42" s="259"/>
      <c r="Q42" s="260">
        <f t="shared" si="114"/>
        <v>18000</v>
      </c>
      <c r="R42" s="188">
        <f>VLOOKUP(B42,'Salary -Dec-2024 (Full)'!$B$6:$AE$383,17,0)</f>
        <v>18000</v>
      </c>
      <c r="S42" s="192">
        <f>VLOOKUP(B42,'Salary -Dec-2024 (Full)'!$B$6:$AE$383,18,0)</f>
        <v>0</v>
      </c>
      <c r="T42" s="192">
        <f>VLOOKUP(B42,'Salary -Dec-2024 (Full)'!$B$6:$AE$383,19,0)</f>
        <v>0</v>
      </c>
      <c r="U42" s="337">
        <f>VLOOKUP(B42,'Salary -Dec-2024 (Full)'!$B$6:$AE$383,20,0)</f>
        <v>0</v>
      </c>
      <c r="V42" s="263">
        <f t="shared" si="115"/>
        <v>18000</v>
      </c>
      <c r="W42" s="192">
        <f>VLOOKUP(B42,'Salary -Dec-2024 (Full)'!$B$6:$AE$383,22,0)</f>
        <v>0</v>
      </c>
      <c r="X42" s="192">
        <f>VLOOKUP(B42,'Salary -Dec-2024 (Full)'!$B$6:$AE$383,23,0)</f>
        <v>0</v>
      </c>
      <c r="Y42" s="337">
        <f>VLOOKUP(B42,'Salary -Dec-2024 (Full)'!$B$6:$AE$383,24,0)</f>
        <v>540</v>
      </c>
      <c r="Z42" s="192">
        <f>VLOOKUP(B42,'Salary -Dec-2024 (Full)'!$B$6:$AE$383,25,0)</f>
        <v>0</v>
      </c>
      <c r="AA42" s="192">
        <f>VLOOKUP(B42,'Salary -Dec-2024 (Full)'!$B$6:$AE$383,26,0)</f>
        <v>0</v>
      </c>
      <c r="AB42" s="384">
        <f t="shared" si="116"/>
        <v>540</v>
      </c>
      <c r="AC42" s="193">
        <f t="shared" si="117"/>
        <v>17460</v>
      </c>
      <c r="AD42" s="264" t="str">
        <f>VLOOKUP(B42,'Salary -Dec-2024 (Full)'!$B$6:$AE$383,29,0)</f>
        <v>Bank</v>
      </c>
      <c r="AE42" s="264" t="str">
        <f>VLOOKUP(B42,'Salary -Dec-2024 (Full)'!$B$6:$AE$383,30,0)</f>
        <v>103.103.1361939</v>
      </c>
      <c r="AG42" s="61"/>
      <c r="AH42" s="183"/>
      <c r="AI42" s="319"/>
    </row>
    <row r="43" spans="1:35" s="47" customFormat="1" ht="24" customHeight="1">
      <c r="A43" s="253">
        <v>19</v>
      </c>
      <c r="B43" s="254" t="s">
        <v>960</v>
      </c>
      <c r="C43" s="255" t="str">
        <f>VLOOKUP(B43,'Salary -Dec-2024 (Full)'!$B$6:$D$383,2,0)</f>
        <v>Polash Chandro Roy</v>
      </c>
      <c r="D43" s="278" t="str">
        <f>VLOOKUP(B43,'Salary -Dec-2024 (Full)'!$B$6:$D$383,3,0)</f>
        <v>Mechanic</v>
      </c>
      <c r="E43" s="256" t="str">
        <f>VLOOKUP(B43,'Salary -Dec-2024 (Full)'!$B$6:$AE$383,4,0)</f>
        <v>Technical</v>
      </c>
      <c r="F43" s="476">
        <f>VLOOKUP(B43,'Salary -Dec-2024 (Full)'!$B$6:$AE$383,5,0)</f>
        <v>45216</v>
      </c>
      <c r="G43" s="257">
        <f>VLOOKUP(B43,'Salary -Dec-2024 (Full)'!$B$6:$AE$286,6,0)</f>
        <v>31</v>
      </c>
      <c r="H43" s="258">
        <f>VLOOKUP(B43,'Salary -Dec-2024 (Full)'!$B$6:$AE$383,7,0)</f>
        <v>0</v>
      </c>
      <c r="I43" s="257">
        <f t="shared" ref="I43:I44" si="118">G43-H43</f>
        <v>31</v>
      </c>
      <c r="J43" s="258">
        <f t="shared" ref="J43:J44" si="119">Q43/G43</f>
        <v>580.64516129032256</v>
      </c>
      <c r="K43" s="72">
        <f>VLOOKUP(B43,'Salary -Dec-2024 (Full)'!$B$6:$AE$286,10,0)</f>
        <v>18000</v>
      </c>
      <c r="L43" s="72">
        <f t="shared" ref="L43:L44" si="120">K43*60%</f>
        <v>10800</v>
      </c>
      <c r="M43" s="72">
        <f t="shared" ref="M43:M44" si="121">K43*30%</f>
        <v>5400</v>
      </c>
      <c r="N43" s="72">
        <f t="shared" ref="N43:N44" si="122">K43*6%</f>
        <v>1080</v>
      </c>
      <c r="O43" s="72">
        <f t="shared" ref="O43:O44" si="123">K43*4%</f>
        <v>720</v>
      </c>
      <c r="P43" s="259"/>
      <c r="Q43" s="260">
        <f t="shared" ref="Q43:Q44" si="124">SUM(L43:P43)</f>
        <v>18000</v>
      </c>
      <c r="R43" s="188">
        <f>VLOOKUP(B43,'Salary -Dec-2024 (Full)'!$B$6:$AE$383,17,0)</f>
        <v>18000</v>
      </c>
      <c r="S43" s="192">
        <f>VLOOKUP(B43,'Salary -Dec-2024 (Full)'!$B$6:$AE$383,18,0)</f>
        <v>0</v>
      </c>
      <c r="T43" s="192">
        <f>VLOOKUP(B43,'Salary -Dec-2024 (Full)'!$B$6:$AE$383,19,0)</f>
        <v>0</v>
      </c>
      <c r="U43" s="337">
        <f>VLOOKUP(B43,'Salary -Dec-2024 (Full)'!$B$6:$AE$383,20,0)</f>
        <v>0</v>
      </c>
      <c r="V43" s="263">
        <f t="shared" ref="V43:V44" si="125">SUM(R43:U43)</f>
        <v>18000</v>
      </c>
      <c r="W43" s="192">
        <f>VLOOKUP(B43,'Salary -Dec-2024 (Full)'!$B$6:$AE$383,22,0)</f>
        <v>0</v>
      </c>
      <c r="X43" s="192">
        <f>VLOOKUP(B43,'Salary -Dec-2024 (Full)'!$B$6:$AE$383,23,0)</f>
        <v>0</v>
      </c>
      <c r="Y43" s="337">
        <f>VLOOKUP(B43,'Salary -Dec-2024 (Full)'!$B$6:$AE$383,24,0)</f>
        <v>540</v>
      </c>
      <c r="Z43" s="192">
        <f>VLOOKUP(B43,'Salary -Dec-2024 (Full)'!$B$6:$AE$383,25,0)</f>
        <v>0</v>
      </c>
      <c r="AA43" s="192">
        <f>VLOOKUP(B43,'Salary -Dec-2024 (Full)'!$B$6:$AE$383,26,0)</f>
        <v>0</v>
      </c>
      <c r="AB43" s="384">
        <f t="shared" si="116"/>
        <v>540</v>
      </c>
      <c r="AC43" s="193">
        <f t="shared" si="117"/>
        <v>17460</v>
      </c>
      <c r="AD43" s="264" t="str">
        <f>VLOOKUP(B43,'Salary -Dec-2024 (Full)'!$B$6:$AE$383,29,0)</f>
        <v>Bank</v>
      </c>
      <c r="AE43" s="264" t="str">
        <f>VLOOKUP(B43,'Salary -Dec-2024 (Full)'!$B$6:$AE$383,30,0)</f>
        <v>103.103.1155200</v>
      </c>
      <c r="AG43" s="61"/>
      <c r="AH43" s="183"/>
      <c r="AI43" s="319"/>
    </row>
    <row r="44" spans="1:35" s="47" customFormat="1" ht="24" customHeight="1">
      <c r="A44" s="253">
        <v>20</v>
      </c>
      <c r="B44" s="254" t="s">
        <v>962</v>
      </c>
      <c r="C44" s="255" t="str">
        <f>VLOOKUP(B44,'Salary -Dec-2024 (Full)'!$B$6:$D$383,2,0)</f>
        <v>Md Harun Ur Rosud</v>
      </c>
      <c r="D44" s="278" t="str">
        <f>VLOOKUP(B44,'Salary -Dec-2024 (Full)'!$B$6:$D$383,3,0)</f>
        <v>Mechanic</v>
      </c>
      <c r="E44" s="256" t="str">
        <f>VLOOKUP(B44,'Salary -Dec-2024 (Full)'!$B$6:$AE$383,4,0)</f>
        <v>Technical</v>
      </c>
      <c r="F44" s="476">
        <f>VLOOKUP(B44,'Salary -Dec-2024 (Full)'!$B$6:$AE$383,5,0)</f>
        <v>45213</v>
      </c>
      <c r="G44" s="257">
        <f>VLOOKUP(B44,'Salary -Dec-2024 (Full)'!$B$6:$AE$286,6,0)</f>
        <v>31</v>
      </c>
      <c r="H44" s="258">
        <f>VLOOKUP(B44,'Salary -Dec-2024 (Full)'!$B$6:$AE$383,7,0)</f>
        <v>3</v>
      </c>
      <c r="I44" s="257">
        <f t="shared" si="118"/>
        <v>28</v>
      </c>
      <c r="J44" s="258">
        <f t="shared" si="119"/>
        <v>677.41935483870964</v>
      </c>
      <c r="K44" s="72">
        <f>VLOOKUP(B44,'Salary -Dec-2024 (Full)'!$B$6:$AE$286,10,0)</f>
        <v>21000</v>
      </c>
      <c r="L44" s="72">
        <f t="shared" si="120"/>
        <v>12600</v>
      </c>
      <c r="M44" s="72">
        <f t="shared" si="121"/>
        <v>6300</v>
      </c>
      <c r="N44" s="72">
        <f t="shared" si="122"/>
        <v>1260</v>
      </c>
      <c r="O44" s="72">
        <f t="shared" si="123"/>
        <v>840</v>
      </c>
      <c r="P44" s="259"/>
      <c r="Q44" s="260">
        <f t="shared" si="124"/>
        <v>21000</v>
      </c>
      <c r="R44" s="188">
        <f>VLOOKUP(B44,'Salary -Dec-2024 (Full)'!$B$6:$AE$383,17,0)</f>
        <v>18968</v>
      </c>
      <c r="S44" s="192">
        <f>VLOOKUP(B44,'Salary -Dec-2024 (Full)'!$B$6:$AE$383,18,0)</f>
        <v>0</v>
      </c>
      <c r="T44" s="192">
        <f>VLOOKUP(B44,'Salary -Dec-2024 (Full)'!$B$6:$AE$383,19,0)</f>
        <v>0</v>
      </c>
      <c r="U44" s="337">
        <f>VLOOKUP(B44,'Salary -Dec-2024 (Full)'!$B$6:$AE$383,20,0)</f>
        <v>0</v>
      </c>
      <c r="V44" s="263">
        <f t="shared" si="125"/>
        <v>18968</v>
      </c>
      <c r="W44" s="192">
        <f>VLOOKUP(B44,'Salary -Dec-2024 (Full)'!$B$6:$AE$383,22,0)</f>
        <v>0</v>
      </c>
      <c r="X44" s="192">
        <f>VLOOKUP(B44,'Salary -Dec-2024 (Full)'!$B$6:$AE$383,23,0)</f>
        <v>0</v>
      </c>
      <c r="Y44" s="337">
        <f>VLOOKUP(B44,'Salary -Dec-2024 (Full)'!$B$6:$AE$383,24,0)</f>
        <v>630</v>
      </c>
      <c r="Z44" s="192">
        <f>VLOOKUP(B44,'Salary -Dec-2024 (Full)'!$B$6:$AE$383,25,0)</f>
        <v>0</v>
      </c>
      <c r="AA44" s="192">
        <f>VLOOKUP(B44,'Salary -Dec-2024 (Full)'!$B$6:$AE$383,26,0)</f>
        <v>0</v>
      </c>
      <c r="AB44" s="384">
        <f t="shared" si="116"/>
        <v>630</v>
      </c>
      <c r="AC44" s="193">
        <f t="shared" si="117"/>
        <v>18338</v>
      </c>
      <c r="AD44" s="264" t="str">
        <f>VLOOKUP(B44,'Salary -Dec-2024 (Full)'!$B$6:$AE$383,29,0)</f>
        <v>Bank</v>
      </c>
      <c r="AE44" s="264" t="str">
        <f>VLOOKUP(B44,'Salary -Dec-2024 (Full)'!$B$6:$AE$383,30,0)</f>
        <v>172.105.0145453</v>
      </c>
      <c r="AG44" s="61"/>
      <c r="AH44" s="183"/>
      <c r="AI44" s="319"/>
    </row>
    <row r="45" spans="1:35" s="47" customFormat="1" ht="24" customHeight="1">
      <c r="A45" s="253">
        <v>21</v>
      </c>
      <c r="B45" s="254" t="s">
        <v>964</v>
      </c>
      <c r="C45" s="255" t="str">
        <f>VLOOKUP(B45,'Salary -Dec-2024 (Full)'!$B$6:$D$383,2,0)</f>
        <v>Md Abdul Barek</v>
      </c>
      <c r="D45" s="278" t="str">
        <f>VLOOKUP(B45,'Salary -Dec-2024 (Full)'!$B$6:$D$383,3,0)</f>
        <v>Mechanic</v>
      </c>
      <c r="E45" s="256" t="str">
        <f>VLOOKUP(B45,'Salary -Dec-2024 (Full)'!$B$6:$AE$383,4,0)</f>
        <v>Technical</v>
      </c>
      <c r="F45" s="476">
        <f>VLOOKUP(B45,'Salary -Dec-2024 (Full)'!$B$6:$AE$383,5,0)</f>
        <v>45213</v>
      </c>
      <c r="G45" s="257">
        <f>VLOOKUP(B45,'Salary -Dec-2024 (Full)'!$B$6:$AE$286,6,0)</f>
        <v>31</v>
      </c>
      <c r="H45" s="258">
        <f>VLOOKUP(B45,'Salary -Dec-2024 (Full)'!$B$6:$AE$383,7,0)</f>
        <v>0</v>
      </c>
      <c r="I45" s="257">
        <f t="shared" ref="I45:I47" si="126">G45-H45</f>
        <v>31</v>
      </c>
      <c r="J45" s="258">
        <f t="shared" ref="J45:J47" si="127">Q45/G45</f>
        <v>677.41935483870964</v>
      </c>
      <c r="K45" s="72">
        <f>VLOOKUP(B45,'Salary -Dec-2024 (Full)'!$B$6:$AE$286,10,0)</f>
        <v>21000</v>
      </c>
      <c r="L45" s="72">
        <f t="shared" ref="L45:L47" si="128">K45*60%</f>
        <v>12600</v>
      </c>
      <c r="M45" s="72">
        <f t="shared" ref="M45:M47" si="129">K45*30%</f>
        <v>6300</v>
      </c>
      <c r="N45" s="72">
        <f t="shared" ref="N45:N47" si="130">K45*6%</f>
        <v>1260</v>
      </c>
      <c r="O45" s="72">
        <f t="shared" ref="O45:O47" si="131">K45*4%</f>
        <v>840</v>
      </c>
      <c r="P45" s="259"/>
      <c r="Q45" s="260">
        <f t="shared" ref="Q45:Q47" si="132">SUM(L45:P45)</f>
        <v>21000</v>
      </c>
      <c r="R45" s="188">
        <f>VLOOKUP(B45,'Salary -Dec-2024 (Full)'!$B$6:$AE$383,17,0)</f>
        <v>21000</v>
      </c>
      <c r="S45" s="192">
        <f>VLOOKUP(B45,'Salary -Dec-2024 (Full)'!$B$6:$AE$383,18,0)</f>
        <v>0</v>
      </c>
      <c r="T45" s="192">
        <f>VLOOKUP(B45,'Salary -Dec-2024 (Full)'!$B$6:$AE$383,19,0)</f>
        <v>0</v>
      </c>
      <c r="U45" s="337">
        <f>VLOOKUP(B45,'Salary -Dec-2024 (Full)'!$B$6:$AE$383,20,0)</f>
        <v>0</v>
      </c>
      <c r="V45" s="263">
        <f t="shared" ref="V45:V47" si="133">SUM(R45:U45)</f>
        <v>21000</v>
      </c>
      <c r="W45" s="192">
        <f>VLOOKUP(B45,'Salary -Dec-2024 (Full)'!$B$6:$AE$383,22,0)</f>
        <v>0</v>
      </c>
      <c r="X45" s="192">
        <f>VLOOKUP(B45,'Salary -Dec-2024 (Full)'!$B$6:$AE$383,23,0)</f>
        <v>0</v>
      </c>
      <c r="Y45" s="337">
        <f>VLOOKUP(B45,'Salary -Dec-2024 (Full)'!$B$6:$AE$383,24,0)</f>
        <v>630</v>
      </c>
      <c r="Z45" s="192">
        <f>VLOOKUP(B45,'Salary -Dec-2024 (Full)'!$B$6:$AE$383,25,0)</f>
        <v>2000</v>
      </c>
      <c r="AA45" s="192">
        <f>VLOOKUP(B45,'Salary -Dec-2024 (Full)'!$B$6:$AE$383,26,0)</f>
        <v>0</v>
      </c>
      <c r="AB45" s="384">
        <f t="shared" si="116"/>
        <v>2630</v>
      </c>
      <c r="AC45" s="193">
        <f t="shared" si="117"/>
        <v>18370</v>
      </c>
      <c r="AD45" s="264" t="str">
        <f>VLOOKUP(B45,'Salary -Dec-2024 (Full)'!$B$6:$AE$383,29,0)</f>
        <v>Bank</v>
      </c>
      <c r="AE45" s="264" t="str">
        <f>VLOOKUP(B45,'Salary -Dec-2024 (Full)'!$B$6:$AE$383,30,0)</f>
        <v>103.103.1360786</v>
      </c>
      <c r="AG45" s="61"/>
      <c r="AH45" s="183"/>
      <c r="AI45" s="319"/>
    </row>
    <row r="46" spans="1:35" s="47" customFormat="1" ht="24" customHeight="1">
      <c r="A46" s="253">
        <v>22</v>
      </c>
      <c r="B46" s="254" t="s">
        <v>1083</v>
      </c>
      <c r="C46" s="255" t="str">
        <f>VLOOKUP(B46,'Salary -Dec-2024 (Full)'!$B$6:$D$383,2,0)</f>
        <v>Md Bipul Pramanik</v>
      </c>
      <c r="D46" s="278" t="str">
        <f>VLOOKUP(B46,'Salary -Dec-2024 (Full)'!$B$6:$D$383,3,0)</f>
        <v>Mechanic</v>
      </c>
      <c r="E46" s="256" t="str">
        <f>VLOOKUP(B46,'Salary -Dec-2024 (Full)'!$B$6:$AE$383,4,0)</f>
        <v>Technical</v>
      </c>
      <c r="F46" s="476">
        <f>VLOOKUP(B46,'Salary -Dec-2024 (Full)'!$B$6:$AE$383,5,0)</f>
        <v>45234</v>
      </c>
      <c r="G46" s="257">
        <f>VLOOKUP(B46,'Salary -Dec-2024 (Full)'!$B$6:$AE$286,6,0)</f>
        <v>31</v>
      </c>
      <c r="H46" s="258">
        <f>VLOOKUP(B46,'Salary -Dec-2024 (Full)'!$B$6:$AE$383,7,0)</f>
        <v>0</v>
      </c>
      <c r="I46" s="257">
        <f t="shared" si="126"/>
        <v>31</v>
      </c>
      <c r="J46" s="258">
        <f t="shared" si="127"/>
        <v>645.16129032258061</v>
      </c>
      <c r="K46" s="72">
        <f>VLOOKUP(B46,'Salary -Dec-2024 (Full)'!$B$6:$AE$286,10,0)</f>
        <v>20000</v>
      </c>
      <c r="L46" s="72">
        <f t="shared" si="128"/>
        <v>12000</v>
      </c>
      <c r="M46" s="72">
        <f t="shared" si="129"/>
        <v>6000</v>
      </c>
      <c r="N46" s="72">
        <f t="shared" si="130"/>
        <v>1200</v>
      </c>
      <c r="O46" s="72">
        <f t="shared" si="131"/>
        <v>800</v>
      </c>
      <c r="P46" s="259"/>
      <c r="Q46" s="260">
        <f t="shared" si="132"/>
        <v>20000</v>
      </c>
      <c r="R46" s="188">
        <f>VLOOKUP(B46,'Salary -Dec-2024 (Full)'!$B$6:$AE$383,17,0)</f>
        <v>20000</v>
      </c>
      <c r="S46" s="192">
        <f>VLOOKUP(B46,'Salary -Dec-2024 (Full)'!$B$6:$AE$383,18,0)</f>
        <v>0</v>
      </c>
      <c r="T46" s="192">
        <f>VLOOKUP(B46,'Salary -Dec-2024 (Full)'!$B$6:$AE$383,19,0)</f>
        <v>0</v>
      </c>
      <c r="U46" s="337">
        <f>VLOOKUP(B46,'Salary -Dec-2024 (Full)'!$B$6:$AE$383,20,0)</f>
        <v>0</v>
      </c>
      <c r="V46" s="263">
        <f t="shared" si="133"/>
        <v>20000</v>
      </c>
      <c r="W46" s="192">
        <f>VLOOKUP(B46,'Salary -Dec-2024 (Full)'!$B$6:$AE$383,22,0)</f>
        <v>0</v>
      </c>
      <c r="X46" s="192">
        <f>VLOOKUP(B46,'Salary -Dec-2024 (Full)'!$B$6:$AE$383,23,0)</f>
        <v>0</v>
      </c>
      <c r="Y46" s="337">
        <f>VLOOKUP(B46,'Salary -Dec-2024 (Full)'!$B$6:$AE$383,24,0)</f>
        <v>600</v>
      </c>
      <c r="Z46" s="192">
        <f>VLOOKUP(B46,'Salary -Dec-2024 (Full)'!$B$6:$AE$383,25,0)</f>
        <v>0</v>
      </c>
      <c r="AA46" s="192">
        <f>VLOOKUP(B46,'Salary -Dec-2024 (Full)'!$B$6:$AE$383,26,0)</f>
        <v>0</v>
      </c>
      <c r="AB46" s="384">
        <f t="shared" si="116"/>
        <v>600</v>
      </c>
      <c r="AC46" s="193">
        <f t="shared" si="117"/>
        <v>19400</v>
      </c>
      <c r="AD46" s="264" t="str">
        <f>VLOOKUP(B46,'Salary -Dec-2024 (Full)'!$B$6:$AE$383,29,0)</f>
        <v>Bank</v>
      </c>
      <c r="AE46" s="264" t="str">
        <f>VLOOKUP(B46,'Salary -Dec-2024 (Full)'!$B$6:$AE$383,30,0)</f>
        <v>231.158.0109395</v>
      </c>
      <c r="AG46" s="61"/>
      <c r="AH46" s="183"/>
      <c r="AI46" s="319"/>
    </row>
    <row r="47" spans="1:35" s="47" customFormat="1" ht="24" customHeight="1">
      <c r="A47" s="253">
        <v>23</v>
      </c>
      <c r="B47" s="254" t="s">
        <v>1087</v>
      </c>
      <c r="C47" s="255" t="str">
        <f>VLOOKUP(B47,'Salary -Dec-2024 (Full)'!$B$6:$D$383,2,0)</f>
        <v>Md Shamim Hosan</v>
      </c>
      <c r="D47" s="278" t="str">
        <f>VLOOKUP(B47,'Salary -Dec-2024 (Full)'!$B$6:$D$383,3,0)</f>
        <v>Asst. Mechanic</v>
      </c>
      <c r="E47" s="256" t="str">
        <f>VLOOKUP(B47,'Salary -Dec-2024 (Full)'!$B$6:$AE$383,4,0)</f>
        <v>Technical</v>
      </c>
      <c r="F47" s="476">
        <f>VLOOKUP(B47,'Salary -Dec-2024 (Full)'!$B$6:$AE$383,5,0)</f>
        <v>45245</v>
      </c>
      <c r="G47" s="257">
        <f>VLOOKUP(B47,'Salary -Dec-2024 (Full)'!$B$6:$AE$286,6,0)</f>
        <v>31</v>
      </c>
      <c r="H47" s="258">
        <f>VLOOKUP(B47,'Salary -Dec-2024 (Full)'!$B$6:$AE$383,7,0)</f>
        <v>0</v>
      </c>
      <c r="I47" s="257">
        <f t="shared" si="126"/>
        <v>31</v>
      </c>
      <c r="J47" s="258">
        <f t="shared" si="127"/>
        <v>548.38709677419354</v>
      </c>
      <c r="K47" s="72">
        <f>VLOOKUP(B47,'Salary -Dec-2024 (Full)'!$B$6:$AE$286,10,0)</f>
        <v>17000</v>
      </c>
      <c r="L47" s="72">
        <f t="shared" si="128"/>
        <v>10200</v>
      </c>
      <c r="M47" s="72">
        <f t="shared" si="129"/>
        <v>5100</v>
      </c>
      <c r="N47" s="72">
        <f t="shared" si="130"/>
        <v>1020</v>
      </c>
      <c r="O47" s="72">
        <f t="shared" si="131"/>
        <v>680</v>
      </c>
      <c r="P47" s="259"/>
      <c r="Q47" s="260">
        <f t="shared" si="132"/>
        <v>17000</v>
      </c>
      <c r="R47" s="188">
        <f>VLOOKUP(B47,'Salary -Dec-2024 (Full)'!$B$6:$AE$383,17,0)</f>
        <v>17000</v>
      </c>
      <c r="S47" s="192">
        <f>VLOOKUP(B47,'Salary -Dec-2024 (Full)'!$B$6:$AE$383,18,0)</f>
        <v>0</v>
      </c>
      <c r="T47" s="192">
        <f>VLOOKUP(B47,'Salary -Dec-2024 (Full)'!$B$6:$AE$383,19,0)</f>
        <v>0</v>
      </c>
      <c r="U47" s="337">
        <f>VLOOKUP(B47,'Salary -Dec-2024 (Full)'!$B$6:$AE$383,20,0)</f>
        <v>0</v>
      </c>
      <c r="V47" s="263">
        <f t="shared" si="133"/>
        <v>17000</v>
      </c>
      <c r="W47" s="192">
        <f>VLOOKUP(B47,'Salary -Dec-2024 (Full)'!$B$6:$AE$383,22,0)</f>
        <v>0</v>
      </c>
      <c r="X47" s="192">
        <f>VLOOKUP(B47,'Salary -Dec-2024 (Full)'!$B$6:$AE$383,23,0)</f>
        <v>0</v>
      </c>
      <c r="Y47" s="337">
        <f>VLOOKUP(B47,'Salary -Dec-2024 (Full)'!$B$6:$AE$383,24,0)</f>
        <v>510</v>
      </c>
      <c r="Z47" s="192">
        <f>VLOOKUP(B47,'Salary -Dec-2024 (Full)'!$B$6:$AE$383,25,0)</f>
        <v>0</v>
      </c>
      <c r="AA47" s="192">
        <f>VLOOKUP(B47,'Salary -Dec-2024 (Full)'!$B$6:$AE$383,26,0)</f>
        <v>0</v>
      </c>
      <c r="AB47" s="384">
        <f t="shared" si="116"/>
        <v>510</v>
      </c>
      <c r="AC47" s="193">
        <f t="shared" si="117"/>
        <v>16490</v>
      </c>
      <c r="AD47" s="264" t="str">
        <f>VLOOKUP(B47,'Salary -Dec-2024 (Full)'!$B$6:$AE$383,29,0)</f>
        <v>Bank</v>
      </c>
      <c r="AE47" s="264" t="str">
        <f>VLOOKUP(B47,'Salary -Dec-2024 (Full)'!$B$6:$AE$383,30,0)</f>
        <v>162.158.0129016</v>
      </c>
      <c r="AG47" s="61"/>
      <c r="AH47" s="183"/>
      <c r="AI47" s="319"/>
    </row>
    <row r="48" spans="1:35" s="47" customFormat="1" ht="24" customHeight="1">
      <c r="A48" s="253">
        <v>24</v>
      </c>
      <c r="B48" s="254" t="s">
        <v>1114</v>
      </c>
      <c r="C48" s="255" t="str">
        <f>VLOOKUP(B48,'Salary -Dec-2024 (Full)'!$B$6:$D$383,2,0)</f>
        <v>Md Alamin</v>
      </c>
      <c r="D48" s="278" t="str">
        <f>VLOOKUP(B48,'Salary -Dec-2024 (Full)'!$B$6:$D$383,3,0)</f>
        <v>Mechanic</v>
      </c>
      <c r="E48" s="256" t="str">
        <f>VLOOKUP(B48,'Salary -Dec-2024 (Full)'!$B$6:$AE$383,4,0)</f>
        <v>Technical</v>
      </c>
      <c r="F48" s="476">
        <f>VLOOKUP(B48,'Salary -Dec-2024 (Full)'!$B$6:$AE$383,5,0)</f>
        <v>45262</v>
      </c>
      <c r="G48" s="257">
        <f>VLOOKUP(B48,'Salary -Dec-2024 (Full)'!$B$6:$AE$286,6,0)</f>
        <v>31</v>
      </c>
      <c r="H48" s="258">
        <f>VLOOKUP(B48,'Salary -Dec-2024 (Full)'!$B$6:$AE$383,7,0)</f>
        <v>0</v>
      </c>
      <c r="I48" s="257">
        <f t="shared" ref="I48:I49" si="134">G48-H48</f>
        <v>31</v>
      </c>
      <c r="J48" s="258">
        <f t="shared" ref="J48:J49" si="135">Q48/G48</f>
        <v>645.16129032258061</v>
      </c>
      <c r="K48" s="72">
        <f>VLOOKUP(B48,'Salary -Dec-2024 (Full)'!$B$6:$AE$286,10,0)</f>
        <v>20000</v>
      </c>
      <c r="L48" s="72">
        <f t="shared" ref="L48:L49" si="136">K48*60%</f>
        <v>12000</v>
      </c>
      <c r="M48" s="72">
        <f t="shared" ref="M48:M49" si="137">K48*30%</f>
        <v>6000</v>
      </c>
      <c r="N48" s="72">
        <f t="shared" ref="N48:N49" si="138">K48*6%</f>
        <v>1200</v>
      </c>
      <c r="O48" s="72">
        <f t="shared" ref="O48:O49" si="139">K48*4%</f>
        <v>800</v>
      </c>
      <c r="P48" s="259"/>
      <c r="Q48" s="260">
        <f t="shared" ref="Q48:Q49" si="140">SUM(L48:P48)</f>
        <v>20000</v>
      </c>
      <c r="R48" s="188">
        <f>VLOOKUP(B48,'Salary -Dec-2024 (Full)'!$B$6:$AE$383,17,0)</f>
        <v>20000</v>
      </c>
      <c r="S48" s="192">
        <f>VLOOKUP(B48,'Salary -Dec-2024 (Full)'!$B$6:$AE$383,18,0)</f>
        <v>0</v>
      </c>
      <c r="T48" s="192">
        <f>VLOOKUP(B48,'Salary -Dec-2024 (Full)'!$B$6:$AE$383,19,0)</f>
        <v>0</v>
      </c>
      <c r="U48" s="337">
        <f>VLOOKUP(B48,'Salary -Dec-2024 (Full)'!$B$6:$AE$383,20,0)</f>
        <v>0</v>
      </c>
      <c r="V48" s="263">
        <f t="shared" ref="V48:V49" si="141">SUM(R48:U48)</f>
        <v>20000</v>
      </c>
      <c r="W48" s="192">
        <f>VLOOKUP(B48,'Salary -Dec-2024 (Full)'!$B$6:$AE$383,22,0)</f>
        <v>0</v>
      </c>
      <c r="X48" s="192">
        <f>VLOOKUP(B48,'Salary -Dec-2024 (Full)'!$B$6:$AE$383,23,0)</f>
        <v>0</v>
      </c>
      <c r="Y48" s="337">
        <f>VLOOKUP(B48,'Salary -Dec-2024 (Full)'!$B$6:$AE$383,24,0)</f>
        <v>600</v>
      </c>
      <c r="Z48" s="192">
        <f>VLOOKUP(B48,'Salary -Dec-2024 (Full)'!$B$6:$AE$383,25,0)</f>
        <v>0</v>
      </c>
      <c r="AA48" s="192">
        <f>VLOOKUP(B48,'Salary -Dec-2024 (Full)'!$B$6:$AE$383,26,0)</f>
        <v>0</v>
      </c>
      <c r="AB48" s="384">
        <f t="shared" si="116"/>
        <v>600</v>
      </c>
      <c r="AC48" s="193">
        <f t="shared" si="117"/>
        <v>19400</v>
      </c>
      <c r="AD48" s="264" t="str">
        <f>VLOOKUP(B48,'Salary -Dec-2024 (Full)'!$B$6:$AE$383,29,0)</f>
        <v>Bank</v>
      </c>
      <c r="AE48" s="264" t="str">
        <f>VLOOKUP(B48,'Salary -Dec-2024 (Full)'!$B$6:$AE$383,30,0)</f>
        <v>103.103.1141341</v>
      </c>
      <c r="AG48" s="61"/>
      <c r="AH48" s="183"/>
      <c r="AI48" s="319"/>
    </row>
    <row r="49" spans="1:35" s="47" customFormat="1" ht="24" customHeight="1">
      <c r="A49" s="253">
        <v>25</v>
      </c>
      <c r="B49" s="254" t="s">
        <v>1117</v>
      </c>
      <c r="C49" s="255" t="str">
        <f>VLOOKUP(B49,'Salary -Dec-2024 (Full)'!$B$6:$D$383,2,0)</f>
        <v>Md Aminur Islam</v>
      </c>
      <c r="D49" s="278" t="str">
        <f>VLOOKUP(B49,'Salary -Dec-2024 (Full)'!$B$6:$D$383,3,0)</f>
        <v>Service Supervisor (Sr. Mechanic)</v>
      </c>
      <c r="E49" s="256" t="str">
        <f>VLOOKUP(B49,'Salary -Dec-2024 (Full)'!$B$6:$AE$383,4,0)</f>
        <v>Technical</v>
      </c>
      <c r="F49" s="476">
        <f>VLOOKUP(B49,'Salary -Dec-2024 (Full)'!$B$6:$AE$383,5,0)</f>
        <v>45265</v>
      </c>
      <c r="G49" s="257">
        <f>VLOOKUP(B49,'Salary -Dec-2024 (Full)'!$B$6:$AE$286,6,0)</f>
        <v>31</v>
      </c>
      <c r="H49" s="258">
        <f>VLOOKUP(B49,'Salary -Dec-2024 (Full)'!$B$6:$AE$383,7,0)</f>
        <v>0</v>
      </c>
      <c r="I49" s="257">
        <f t="shared" si="134"/>
        <v>31</v>
      </c>
      <c r="J49" s="258">
        <f t="shared" si="135"/>
        <v>774.19354838709683</v>
      </c>
      <c r="K49" s="72">
        <f>VLOOKUP(B49,'Salary -Dec-2024 (Full)'!$B$6:$AE$286,10,0)</f>
        <v>24000</v>
      </c>
      <c r="L49" s="72">
        <f t="shared" si="136"/>
        <v>14400</v>
      </c>
      <c r="M49" s="72">
        <f t="shared" si="137"/>
        <v>7200</v>
      </c>
      <c r="N49" s="72">
        <f t="shared" si="138"/>
        <v>1440</v>
      </c>
      <c r="O49" s="72">
        <f t="shared" si="139"/>
        <v>960</v>
      </c>
      <c r="P49" s="259"/>
      <c r="Q49" s="260">
        <f t="shared" si="140"/>
        <v>24000</v>
      </c>
      <c r="R49" s="188">
        <f>VLOOKUP(B49,'Salary -Dec-2024 (Full)'!$B$6:$AE$383,17,0)</f>
        <v>24000</v>
      </c>
      <c r="S49" s="192">
        <f>VLOOKUP(B49,'Salary -Dec-2024 (Full)'!$B$6:$AE$383,18,0)</f>
        <v>0</v>
      </c>
      <c r="T49" s="192">
        <f>VLOOKUP(B49,'Salary -Dec-2024 (Full)'!$B$6:$AE$383,19,0)</f>
        <v>0</v>
      </c>
      <c r="U49" s="337">
        <f>VLOOKUP(B49,'Salary -Dec-2024 (Full)'!$B$6:$AE$383,20,0)</f>
        <v>0</v>
      </c>
      <c r="V49" s="263">
        <f t="shared" si="141"/>
        <v>24000</v>
      </c>
      <c r="W49" s="192">
        <f>VLOOKUP(B49,'Salary -Dec-2024 (Full)'!$B$6:$AE$383,22,0)</f>
        <v>0</v>
      </c>
      <c r="X49" s="192">
        <f>VLOOKUP(B49,'Salary -Dec-2024 (Full)'!$B$6:$AE$383,23,0)</f>
        <v>0</v>
      </c>
      <c r="Y49" s="337">
        <f>VLOOKUP(B49,'Salary -Dec-2024 (Full)'!$B$6:$AE$383,24,0)</f>
        <v>720</v>
      </c>
      <c r="Z49" s="192">
        <f>VLOOKUP(B49,'Salary -Dec-2024 (Full)'!$B$6:$AE$383,25,0)</f>
        <v>0</v>
      </c>
      <c r="AA49" s="192">
        <f>VLOOKUP(B49,'Salary -Dec-2024 (Full)'!$B$6:$AE$383,26,0)</f>
        <v>0</v>
      </c>
      <c r="AB49" s="384">
        <f t="shared" si="116"/>
        <v>720</v>
      </c>
      <c r="AC49" s="193">
        <f t="shared" si="117"/>
        <v>23280</v>
      </c>
      <c r="AD49" s="264" t="str">
        <f>VLOOKUP(B49,'Salary -Dec-2024 (Full)'!$B$6:$AE$383,29,0)</f>
        <v>Bank</v>
      </c>
      <c r="AE49" s="264" t="str">
        <f>VLOOKUP(B49,'Salary -Dec-2024 (Full)'!$B$6:$AE$383,30,0)</f>
        <v>163.151.0074287</v>
      </c>
      <c r="AG49" s="61"/>
      <c r="AH49" s="183"/>
      <c r="AI49" s="319"/>
    </row>
    <row r="50" spans="1:35" s="47" customFormat="1" ht="24" customHeight="1">
      <c r="A50" s="253">
        <v>26</v>
      </c>
      <c r="B50" s="254" t="s">
        <v>1237</v>
      </c>
      <c r="C50" s="255" t="str">
        <f>VLOOKUP(B50,'Salary -Dec-2024 (Full)'!$B$6:$D$383,2,0)</f>
        <v>Md Hasib Islam</v>
      </c>
      <c r="D50" s="278" t="str">
        <f>VLOOKUP(B50,'Salary -Dec-2024 (Full)'!$B$6:$D$383,3,0)</f>
        <v>Mechanic</v>
      </c>
      <c r="E50" s="256" t="str">
        <f>VLOOKUP(B50,'Salary -Dec-2024 (Full)'!$B$6:$AE$383,4,0)</f>
        <v>Technical</v>
      </c>
      <c r="F50" s="476">
        <f>VLOOKUP(B50,'Salary -Dec-2024 (Full)'!$B$6:$AE$383,5,0)</f>
        <v>45371</v>
      </c>
      <c r="G50" s="257">
        <f>VLOOKUP(B50,'Salary -Dec-2024 (Full)'!$B$6:$AE$286,6,0)</f>
        <v>31</v>
      </c>
      <c r="H50" s="258">
        <f>VLOOKUP(B50,'Salary -Dec-2024 (Full)'!$B$6:$AE$383,7,0)</f>
        <v>0</v>
      </c>
      <c r="I50" s="257">
        <f t="shared" ref="I50:I51" si="142">G50-H50</f>
        <v>31</v>
      </c>
      <c r="J50" s="258">
        <f t="shared" ref="J50:J51" si="143">Q50/G50</f>
        <v>645.16129032258061</v>
      </c>
      <c r="K50" s="72">
        <f>VLOOKUP(B50,'Salary -Dec-2024 (Full)'!$B$6:$AE$286,10,0)</f>
        <v>20000</v>
      </c>
      <c r="L50" s="72">
        <f t="shared" ref="L50:L51" si="144">K50*60%</f>
        <v>12000</v>
      </c>
      <c r="M50" s="72">
        <f t="shared" ref="M50:M51" si="145">K50*30%</f>
        <v>6000</v>
      </c>
      <c r="N50" s="72">
        <f t="shared" ref="N50:N51" si="146">K50*6%</f>
        <v>1200</v>
      </c>
      <c r="O50" s="72">
        <f t="shared" ref="O50:O51" si="147">K50*4%</f>
        <v>800</v>
      </c>
      <c r="P50" s="259"/>
      <c r="Q50" s="260">
        <f t="shared" ref="Q50:Q51" si="148">SUM(L50:P50)</f>
        <v>20000</v>
      </c>
      <c r="R50" s="188">
        <f>VLOOKUP(B50,'Salary -Dec-2024 (Full)'!$B$6:$AE$383,17,0)</f>
        <v>20000</v>
      </c>
      <c r="S50" s="192">
        <f>VLOOKUP(B50,'Salary -Dec-2024 (Full)'!$B$6:$AE$383,18,0)</f>
        <v>0</v>
      </c>
      <c r="T50" s="192">
        <f>VLOOKUP(B50,'Salary -Dec-2024 (Full)'!$B$6:$AE$383,19,0)</f>
        <v>0</v>
      </c>
      <c r="U50" s="337">
        <f>VLOOKUP(B50,'Salary -Dec-2024 (Full)'!$B$6:$AE$383,20,0)</f>
        <v>0</v>
      </c>
      <c r="V50" s="263">
        <f t="shared" ref="V50:V51" si="149">SUM(R50:U50)</f>
        <v>20000</v>
      </c>
      <c r="W50" s="192">
        <f>VLOOKUP(B50,'Salary -Dec-2024 (Full)'!$B$6:$AE$383,22,0)</f>
        <v>0</v>
      </c>
      <c r="X50" s="192">
        <f>VLOOKUP(B50,'Salary -Dec-2024 (Full)'!$B$6:$AE$383,23,0)</f>
        <v>0</v>
      </c>
      <c r="Y50" s="337">
        <f>VLOOKUP(B50,'Salary -Dec-2024 (Full)'!$B$6:$AE$383,24,0)</f>
        <v>0</v>
      </c>
      <c r="Z50" s="192">
        <f>VLOOKUP(B50,'Salary -Dec-2024 (Full)'!$B$6:$AE$383,25,0)</f>
        <v>2000</v>
      </c>
      <c r="AA50" s="192">
        <f>VLOOKUP(B50,'Salary -Dec-2024 (Full)'!$B$6:$AE$383,26,0)</f>
        <v>0</v>
      </c>
      <c r="AB50" s="384">
        <f t="shared" si="116"/>
        <v>2000</v>
      </c>
      <c r="AC50" s="193">
        <f t="shared" si="117"/>
        <v>18000</v>
      </c>
      <c r="AD50" s="264" t="str">
        <f>VLOOKUP(B50,'Salary -Dec-2024 (Full)'!$B$6:$AE$383,29,0)</f>
        <v>Bank</v>
      </c>
      <c r="AE50" s="264" t="str">
        <f>VLOOKUP(B50,'Salary -Dec-2024 (Full)'!$B$6:$AE$383,30,0)</f>
        <v>103.103.1361958</v>
      </c>
      <c r="AG50" s="61"/>
      <c r="AH50" s="183"/>
      <c r="AI50" s="319"/>
    </row>
    <row r="51" spans="1:35" s="47" customFormat="1" ht="24" customHeight="1">
      <c r="A51" s="253">
        <v>27</v>
      </c>
      <c r="B51" s="254" t="s">
        <v>1241</v>
      </c>
      <c r="C51" s="255" t="str">
        <f>VLOOKUP(B51,'Salary -Dec-2024 (Full)'!$B$6:$D$383,2,0)</f>
        <v>Md Rashel Babu</v>
      </c>
      <c r="D51" s="278" t="str">
        <f>VLOOKUP(B51,'Salary -Dec-2024 (Full)'!$B$6:$D$383,3,0)</f>
        <v>Mechanic</v>
      </c>
      <c r="E51" s="256" t="str">
        <f>VLOOKUP(B51,'Salary -Dec-2024 (Full)'!$B$6:$AE$383,4,0)</f>
        <v>Technical</v>
      </c>
      <c r="F51" s="476">
        <f>VLOOKUP(B51,'Salary -Dec-2024 (Full)'!$B$6:$AE$383,5,0)</f>
        <v>45362</v>
      </c>
      <c r="G51" s="257">
        <f>VLOOKUP(B51,'Salary -Dec-2024 (Full)'!$B$6:$AE$286,6,0)</f>
        <v>31</v>
      </c>
      <c r="H51" s="258">
        <f>VLOOKUP(B51,'Salary -Dec-2024 (Full)'!$B$6:$AE$383,7,0)</f>
        <v>0</v>
      </c>
      <c r="I51" s="257">
        <f t="shared" si="142"/>
        <v>31</v>
      </c>
      <c r="J51" s="258">
        <f t="shared" si="143"/>
        <v>612.90322580645159</v>
      </c>
      <c r="K51" s="72">
        <f>VLOOKUP(B51,'Salary -Dec-2024 (Full)'!$B$6:$AE$286,10,0)</f>
        <v>19000</v>
      </c>
      <c r="L51" s="72">
        <f t="shared" si="144"/>
        <v>11400</v>
      </c>
      <c r="M51" s="72">
        <f t="shared" si="145"/>
        <v>5700</v>
      </c>
      <c r="N51" s="72">
        <f t="shared" si="146"/>
        <v>1140</v>
      </c>
      <c r="O51" s="72">
        <f t="shared" si="147"/>
        <v>760</v>
      </c>
      <c r="P51" s="259"/>
      <c r="Q51" s="260">
        <f t="shared" si="148"/>
        <v>19000</v>
      </c>
      <c r="R51" s="188">
        <f>VLOOKUP(B51,'Salary -Dec-2024 (Full)'!$B$6:$AE$383,17,0)</f>
        <v>19000</v>
      </c>
      <c r="S51" s="192">
        <f>VLOOKUP(B51,'Salary -Dec-2024 (Full)'!$B$6:$AE$383,18,0)</f>
        <v>0</v>
      </c>
      <c r="T51" s="192">
        <f>VLOOKUP(B51,'Salary -Dec-2024 (Full)'!$B$6:$AE$383,19,0)</f>
        <v>0</v>
      </c>
      <c r="U51" s="337">
        <f>VLOOKUP(B51,'Salary -Dec-2024 (Full)'!$B$6:$AE$383,20,0)</f>
        <v>0</v>
      </c>
      <c r="V51" s="263">
        <f t="shared" si="149"/>
        <v>19000</v>
      </c>
      <c r="W51" s="192">
        <f>VLOOKUP(B51,'Salary -Dec-2024 (Full)'!$B$6:$AE$383,22,0)</f>
        <v>0</v>
      </c>
      <c r="X51" s="192">
        <f>VLOOKUP(B51,'Salary -Dec-2024 (Full)'!$B$6:$AE$383,23,0)</f>
        <v>0</v>
      </c>
      <c r="Y51" s="337">
        <f>VLOOKUP(B51,'Salary -Dec-2024 (Full)'!$B$6:$AE$383,24,0)</f>
        <v>0</v>
      </c>
      <c r="Z51" s="192">
        <f>VLOOKUP(B51,'Salary -Dec-2024 (Full)'!$B$6:$AE$383,25,0)</f>
        <v>0</v>
      </c>
      <c r="AA51" s="192">
        <f>VLOOKUP(B51,'Salary -Dec-2024 (Full)'!$B$6:$AE$383,26,0)</f>
        <v>0</v>
      </c>
      <c r="AB51" s="384">
        <f t="shared" si="116"/>
        <v>0</v>
      </c>
      <c r="AC51" s="193">
        <f t="shared" si="117"/>
        <v>19000</v>
      </c>
      <c r="AD51" s="264" t="str">
        <f>VLOOKUP(B51,'Salary -Dec-2024 (Full)'!$B$6:$AE$383,29,0)</f>
        <v>Bank</v>
      </c>
      <c r="AE51" s="264" t="str">
        <f>VLOOKUP(B51,'Salary -Dec-2024 (Full)'!$B$6:$AE$383,30,0)</f>
        <v>172.158.0039727</v>
      </c>
      <c r="AG51" s="61"/>
      <c r="AH51" s="183"/>
      <c r="AI51" s="319"/>
    </row>
    <row r="52" spans="1:35" s="47" customFormat="1" ht="24" customHeight="1">
      <c r="A52" s="253">
        <v>28</v>
      </c>
      <c r="B52" s="254" t="s">
        <v>1292</v>
      </c>
      <c r="C52" s="255" t="str">
        <f>VLOOKUP(B52,'Salary -Dec-2024 (Full)'!$B$6:$D$383,2,0)</f>
        <v>Mizanur Rahman</v>
      </c>
      <c r="D52" s="278" t="str">
        <f>VLOOKUP(B52,'Salary -Dec-2024 (Full)'!$B$6:$D$383,3,0)</f>
        <v>Mechanic</v>
      </c>
      <c r="E52" s="256" t="str">
        <f>VLOOKUP(B52,'Salary -Dec-2024 (Full)'!$B$6:$AE$383,4,0)</f>
        <v>Technical</v>
      </c>
      <c r="F52" s="476">
        <f>VLOOKUP(B52,'Salary -Dec-2024 (Full)'!$B$6:$AE$383,5,0)</f>
        <v>45397</v>
      </c>
      <c r="G52" s="257">
        <f>VLOOKUP(B52,'Salary -Dec-2024 (Full)'!$B$6:$AE$286,6,0)</f>
        <v>31</v>
      </c>
      <c r="H52" s="258">
        <f>VLOOKUP(B52,'Salary -Dec-2024 (Full)'!$B$6:$AE$383,7,0)</f>
        <v>0</v>
      </c>
      <c r="I52" s="257">
        <f t="shared" ref="I52:I53" si="150">G52-H52</f>
        <v>31</v>
      </c>
      <c r="J52" s="258">
        <f t="shared" ref="J52:J53" si="151">Q52/G52</f>
        <v>580.64516129032256</v>
      </c>
      <c r="K52" s="72">
        <f>VLOOKUP(B52,'Salary -Dec-2024 (Full)'!$B$6:$AE$286,10,0)</f>
        <v>18000</v>
      </c>
      <c r="L52" s="72">
        <f t="shared" ref="L52:L53" si="152">K52*60%</f>
        <v>10800</v>
      </c>
      <c r="M52" s="72">
        <f t="shared" ref="M52:M53" si="153">K52*30%</f>
        <v>5400</v>
      </c>
      <c r="N52" s="72">
        <f t="shared" ref="N52:N53" si="154">K52*6%</f>
        <v>1080</v>
      </c>
      <c r="O52" s="72">
        <f t="shared" ref="O52:O53" si="155">K52*4%</f>
        <v>720</v>
      </c>
      <c r="P52" s="259"/>
      <c r="Q52" s="260">
        <f t="shared" ref="Q52:Q53" si="156">SUM(L52:P52)</f>
        <v>18000</v>
      </c>
      <c r="R52" s="188">
        <f>VLOOKUP(B52,'Salary -Dec-2024 (Full)'!$B$6:$AE$383,17,0)</f>
        <v>18000</v>
      </c>
      <c r="S52" s="192">
        <f>VLOOKUP(B52,'Salary -Dec-2024 (Full)'!$B$6:$AE$383,18,0)</f>
        <v>0</v>
      </c>
      <c r="T52" s="192">
        <f>VLOOKUP(B52,'Salary -Dec-2024 (Full)'!$B$6:$AE$383,19,0)</f>
        <v>0</v>
      </c>
      <c r="U52" s="337">
        <f>VLOOKUP(B52,'Salary -Dec-2024 (Full)'!$B$6:$AE$383,20,0)</f>
        <v>0</v>
      </c>
      <c r="V52" s="263">
        <f t="shared" ref="V52:V53" si="157">SUM(R52:U52)</f>
        <v>18000</v>
      </c>
      <c r="W52" s="192">
        <f>VLOOKUP(B52,'Salary -Dec-2024 (Full)'!$B$6:$AE$383,22,0)</f>
        <v>0</v>
      </c>
      <c r="X52" s="192">
        <f>VLOOKUP(B52,'Salary -Dec-2024 (Full)'!$B$6:$AE$383,23,0)</f>
        <v>0</v>
      </c>
      <c r="Y52" s="337">
        <f>VLOOKUP(B52,'Salary -Dec-2024 (Full)'!$B$6:$AE$383,24,0)</f>
        <v>0</v>
      </c>
      <c r="Z52" s="192">
        <f>VLOOKUP(B52,'Salary -Dec-2024 (Full)'!$B$6:$AE$383,25,0)</f>
        <v>2000</v>
      </c>
      <c r="AA52" s="192">
        <f>VLOOKUP(B52,'Salary -Dec-2024 (Full)'!$B$6:$AE$383,26,0)</f>
        <v>0</v>
      </c>
      <c r="AB52" s="384">
        <f t="shared" si="116"/>
        <v>2000</v>
      </c>
      <c r="AC52" s="193">
        <f t="shared" si="117"/>
        <v>16000</v>
      </c>
      <c r="AD52" s="264" t="str">
        <f>VLOOKUP(B52,'Salary -Dec-2024 (Full)'!$B$6:$AE$383,29,0)</f>
        <v>Bank</v>
      </c>
      <c r="AE52" s="264" t="str">
        <f>VLOOKUP(B52,'Salary -Dec-2024 (Full)'!$B$6:$AE$383,30,0)</f>
        <v>293.103.0420982</v>
      </c>
      <c r="AG52" s="61"/>
      <c r="AH52" s="183"/>
      <c r="AI52" s="319"/>
    </row>
    <row r="53" spans="1:35" s="47" customFormat="1" ht="24" customHeight="1">
      <c r="A53" s="253">
        <v>29</v>
      </c>
      <c r="B53" s="254" t="s">
        <v>1294</v>
      </c>
      <c r="C53" s="255" t="str">
        <f>VLOOKUP(B53,'Salary -Dec-2024 (Full)'!$B$6:$D$383,2,0)</f>
        <v>Md Saidul Islam</v>
      </c>
      <c r="D53" s="278" t="str">
        <f>VLOOKUP(B53,'Salary -Dec-2024 (Full)'!$B$6:$D$383,3,0)</f>
        <v>Mechanic</v>
      </c>
      <c r="E53" s="256" t="str">
        <f>VLOOKUP(B53,'Salary -Dec-2024 (Full)'!$B$6:$AE$383,4,0)</f>
        <v>Technical</v>
      </c>
      <c r="F53" s="476">
        <f>VLOOKUP(B53,'Salary -Dec-2024 (Full)'!$B$6:$AE$383,5,0)</f>
        <v>45397</v>
      </c>
      <c r="G53" s="257">
        <f>VLOOKUP(B53,'Salary -Dec-2024 (Full)'!$B$6:$AE$286,6,0)</f>
        <v>31</v>
      </c>
      <c r="H53" s="258">
        <f>VLOOKUP(B53,'Salary -Dec-2024 (Full)'!$B$6:$AE$383,7,0)</f>
        <v>0</v>
      </c>
      <c r="I53" s="257">
        <f t="shared" si="150"/>
        <v>31</v>
      </c>
      <c r="J53" s="258">
        <f t="shared" si="151"/>
        <v>645.16129032258061</v>
      </c>
      <c r="K53" s="72">
        <f>VLOOKUP(B53,'Salary -Dec-2024 (Full)'!$B$6:$AE$286,10,0)</f>
        <v>20000</v>
      </c>
      <c r="L53" s="72">
        <f t="shared" si="152"/>
        <v>12000</v>
      </c>
      <c r="M53" s="72">
        <f t="shared" si="153"/>
        <v>6000</v>
      </c>
      <c r="N53" s="72">
        <f t="shared" si="154"/>
        <v>1200</v>
      </c>
      <c r="O53" s="72">
        <f t="shared" si="155"/>
        <v>800</v>
      </c>
      <c r="P53" s="259"/>
      <c r="Q53" s="260">
        <f t="shared" si="156"/>
        <v>20000</v>
      </c>
      <c r="R53" s="188">
        <f>VLOOKUP(B53,'Salary -Dec-2024 (Full)'!$B$6:$AE$383,17,0)</f>
        <v>20000</v>
      </c>
      <c r="S53" s="192">
        <f>VLOOKUP(B53,'Salary -Dec-2024 (Full)'!$B$6:$AE$383,18,0)</f>
        <v>0</v>
      </c>
      <c r="T53" s="192">
        <f>VLOOKUP(B53,'Salary -Dec-2024 (Full)'!$B$6:$AE$383,19,0)</f>
        <v>0</v>
      </c>
      <c r="U53" s="337">
        <f>VLOOKUP(B53,'Salary -Dec-2024 (Full)'!$B$6:$AE$383,20,0)</f>
        <v>0</v>
      </c>
      <c r="V53" s="263">
        <f t="shared" si="157"/>
        <v>20000</v>
      </c>
      <c r="W53" s="192">
        <f>VLOOKUP(B53,'Salary -Dec-2024 (Full)'!$B$6:$AE$383,22,0)</f>
        <v>0</v>
      </c>
      <c r="X53" s="192">
        <f>VLOOKUP(B53,'Salary -Dec-2024 (Full)'!$B$6:$AE$383,23,0)</f>
        <v>0</v>
      </c>
      <c r="Y53" s="337">
        <f>VLOOKUP(B53,'Salary -Dec-2024 (Full)'!$B$6:$AE$383,24,0)</f>
        <v>0</v>
      </c>
      <c r="Z53" s="192">
        <f>VLOOKUP(B53,'Salary -Dec-2024 (Full)'!$B$6:$AE$383,25,0)</f>
        <v>0</v>
      </c>
      <c r="AA53" s="192">
        <f>VLOOKUP(B53,'Salary -Dec-2024 (Full)'!$B$6:$AE$383,26,0)</f>
        <v>0</v>
      </c>
      <c r="AB53" s="384">
        <f t="shared" si="116"/>
        <v>0</v>
      </c>
      <c r="AC53" s="193">
        <f t="shared" si="117"/>
        <v>20000</v>
      </c>
      <c r="AD53" s="264" t="str">
        <f>VLOOKUP(B53,'Salary -Dec-2024 (Full)'!$B$6:$AE$383,29,0)</f>
        <v>Bank</v>
      </c>
      <c r="AE53" s="264" t="str">
        <f>VLOOKUP(B53,'Salary -Dec-2024 (Full)'!$B$6:$AE$383,30,0)</f>
        <v>103.103.672294</v>
      </c>
      <c r="AG53" s="61"/>
      <c r="AH53" s="183"/>
      <c r="AI53" s="319"/>
    </row>
    <row r="54" spans="1:35" s="47" customFormat="1" ht="24" customHeight="1">
      <c r="A54" s="253">
        <v>30</v>
      </c>
      <c r="B54" s="254" t="s">
        <v>101</v>
      </c>
      <c r="C54" s="255" t="str">
        <f>VLOOKUP(B54,'Salary -Dec-2024 (Full)'!$B$6:$D$383,2,0)</f>
        <v>Md. Nefaur Rahman</v>
      </c>
      <c r="D54" s="278" t="str">
        <f>VLOOKUP(B54,'Salary -Dec-2024 (Full)'!$B$6:$D$383,3,0)</f>
        <v>Mechanic</v>
      </c>
      <c r="E54" s="256" t="str">
        <f>VLOOKUP(B54,'Salary -Dec-2024 (Full)'!$B$6:$AE$383,4,0)</f>
        <v>Technical</v>
      </c>
      <c r="F54" s="476">
        <f>VLOOKUP(B54,'Salary -Dec-2024 (Full)'!$B$6:$AE$383,5,0)</f>
        <v>44604</v>
      </c>
      <c r="G54" s="257">
        <f>VLOOKUP(B54,'Salary -Dec-2024 (Full)'!$B$6:$AE$286,6,0)</f>
        <v>31</v>
      </c>
      <c r="H54" s="258">
        <f>VLOOKUP(B54,'Salary -Dec-2024 (Full)'!$B$6:$AE$383,7,0)</f>
        <v>0</v>
      </c>
      <c r="I54" s="257">
        <f t="shared" ref="I54:I74" si="158">G54-H54</f>
        <v>31</v>
      </c>
      <c r="J54" s="258">
        <f t="shared" ref="J54:J74" si="159">Q54/G54</f>
        <v>677.74193548387098</v>
      </c>
      <c r="K54" s="72">
        <f>VLOOKUP(B54,'Salary -Dec-2024 (Full)'!$B$6:$AE$286,10,0)</f>
        <v>21010</v>
      </c>
      <c r="L54" s="72">
        <f t="shared" ref="L54:L74" si="160">K54*60%</f>
        <v>12606</v>
      </c>
      <c r="M54" s="72">
        <f t="shared" ref="M54:M74" si="161">K54*30%</f>
        <v>6303</v>
      </c>
      <c r="N54" s="72">
        <f t="shared" ref="N54:N74" si="162">K54*6%</f>
        <v>1260.5999999999999</v>
      </c>
      <c r="O54" s="72">
        <f t="shared" ref="O54:O74" si="163">K54*4%</f>
        <v>840.4</v>
      </c>
      <c r="P54" s="259"/>
      <c r="Q54" s="260">
        <f t="shared" ref="Q54:Q74" si="164">SUM(L54:P54)</f>
        <v>21010</v>
      </c>
      <c r="R54" s="188">
        <f>VLOOKUP(B54,'Salary -Dec-2024 (Full)'!$B$6:$AE$383,17,0)</f>
        <v>21010</v>
      </c>
      <c r="S54" s="192">
        <f>VLOOKUP(B54,'Salary -Dec-2024 (Full)'!$B$6:$AE$383,18,0)</f>
        <v>0</v>
      </c>
      <c r="T54" s="192">
        <f>VLOOKUP(B54,'Salary -Dec-2024 (Full)'!$B$6:$AE$383,19,0)</f>
        <v>0</v>
      </c>
      <c r="U54" s="337">
        <f>VLOOKUP(B54,'Salary -Dec-2024 (Full)'!$B$6:$AE$383,20,0)</f>
        <v>0</v>
      </c>
      <c r="V54" s="263">
        <f t="shared" ref="V54:V74" si="165">SUM(R54:U54)</f>
        <v>21010</v>
      </c>
      <c r="W54" s="192">
        <f>VLOOKUP(B54,'Salary -Dec-2024 (Full)'!$B$6:$AE$383,22,0)</f>
        <v>0</v>
      </c>
      <c r="X54" s="192">
        <f>VLOOKUP(B54,'Salary -Dec-2024 (Full)'!$B$6:$AE$383,23,0)</f>
        <v>0</v>
      </c>
      <c r="Y54" s="337">
        <f>VLOOKUP(B54,'Salary -Dec-2024 (Full)'!$B$6:$AE$383,24,0)</f>
        <v>630</v>
      </c>
      <c r="Z54" s="192">
        <f>VLOOKUP(B54,'Salary -Dec-2024 (Full)'!$B$6:$AE$383,25,0)</f>
        <v>842</v>
      </c>
      <c r="AA54" s="192">
        <f>VLOOKUP(B54,'Salary -Dec-2024 (Full)'!$B$6:$AE$383,26,0)</f>
        <v>0</v>
      </c>
      <c r="AB54" s="384">
        <f t="shared" ref="AB54:AB74" si="166">SUM(W54:AA54)</f>
        <v>1472</v>
      </c>
      <c r="AC54" s="193">
        <f t="shared" ref="AC54:AC74" si="167">ROUND(V54-AB54,0)</f>
        <v>19538</v>
      </c>
      <c r="AD54" s="264" t="str">
        <f>VLOOKUP(B54,'Salary -Dec-2024 (Full)'!$B$6:$AE$383,29,0)</f>
        <v>Bank</v>
      </c>
      <c r="AE54" s="264" t="str">
        <f>VLOOKUP(B54,'Salary -Dec-2024 (Full)'!$B$6:$AE$383,30,0)</f>
        <v>263.158.0019418</v>
      </c>
      <c r="AG54" s="61"/>
      <c r="AH54" s="183"/>
      <c r="AI54" s="319"/>
    </row>
    <row r="55" spans="1:35" s="47" customFormat="1" ht="24" customHeight="1">
      <c r="A55" s="253">
        <v>31</v>
      </c>
      <c r="B55" s="254" t="s">
        <v>107</v>
      </c>
      <c r="C55" s="255" t="str">
        <f>VLOOKUP(B55,'Salary -Dec-2024 (Full)'!$B$6:$D$383,2,0)</f>
        <v>Arman Hossen</v>
      </c>
      <c r="D55" s="278" t="str">
        <f>VLOOKUP(B55,'Salary -Dec-2024 (Full)'!$B$6:$D$383,3,0)</f>
        <v>Jr. Mechanic</v>
      </c>
      <c r="E55" s="256" t="str">
        <f>VLOOKUP(B55,'Salary -Dec-2024 (Full)'!$B$6:$AE$383,4,0)</f>
        <v>Technical</v>
      </c>
      <c r="F55" s="476">
        <f>VLOOKUP(B55,'Salary -Dec-2024 (Full)'!$B$6:$AE$383,5,0)</f>
        <v>44600</v>
      </c>
      <c r="G55" s="257">
        <f>VLOOKUP(B55,'Salary -Dec-2024 (Full)'!$B$6:$AE$286,6,0)</f>
        <v>31</v>
      </c>
      <c r="H55" s="258">
        <f>VLOOKUP(B55,'Salary -Dec-2024 (Full)'!$B$6:$AE$383,7,0)</f>
        <v>0</v>
      </c>
      <c r="I55" s="257">
        <f t="shared" si="158"/>
        <v>31</v>
      </c>
      <c r="J55" s="258">
        <f t="shared" si="159"/>
        <v>582.25806451612902</v>
      </c>
      <c r="K55" s="72">
        <f>VLOOKUP(B55,'Salary -Dec-2024 (Full)'!$B$6:$AE$286,10,0)</f>
        <v>18050</v>
      </c>
      <c r="L55" s="72">
        <f t="shared" si="160"/>
        <v>10830</v>
      </c>
      <c r="M55" s="72">
        <f t="shared" si="161"/>
        <v>5415</v>
      </c>
      <c r="N55" s="72">
        <f t="shared" si="162"/>
        <v>1083</v>
      </c>
      <c r="O55" s="72">
        <f t="shared" si="163"/>
        <v>722</v>
      </c>
      <c r="P55" s="259"/>
      <c r="Q55" s="260">
        <f t="shared" si="164"/>
        <v>18050</v>
      </c>
      <c r="R55" s="188">
        <f>VLOOKUP(B55,'Salary -Dec-2024 (Full)'!$B$6:$AE$383,17,0)</f>
        <v>18050</v>
      </c>
      <c r="S55" s="192">
        <f>VLOOKUP(B55,'Salary -Dec-2024 (Full)'!$B$6:$AE$383,18,0)</f>
        <v>0</v>
      </c>
      <c r="T55" s="192">
        <f>VLOOKUP(B55,'Salary -Dec-2024 (Full)'!$B$6:$AE$383,19,0)</f>
        <v>0</v>
      </c>
      <c r="U55" s="337">
        <f>VLOOKUP(B55,'Salary -Dec-2024 (Full)'!$B$6:$AE$383,20,0)</f>
        <v>0</v>
      </c>
      <c r="V55" s="263">
        <f t="shared" si="165"/>
        <v>18050</v>
      </c>
      <c r="W55" s="192">
        <f>VLOOKUP(B55,'Salary -Dec-2024 (Full)'!$B$6:$AE$383,22,0)</f>
        <v>0</v>
      </c>
      <c r="X55" s="192">
        <f>VLOOKUP(B55,'Salary -Dec-2024 (Full)'!$B$6:$AE$383,23,0)</f>
        <v>0</v>
      </c>
      <c r="Y55" s="337">
        <f>VLOOKUP(B55,'Salary -Dec-2024 (Full)'!$B$6:$AE$383,24,0)</f>
        <v>542</v>
      </c>
      <c r="Z55" s="192">
        <f>VLOOKUP(B55,'Salary -Dec-2024 (Full)'!$B$6:$AE$383,25,0)</f>
        <v>2000</v>
      </c>
      <c r="AA55" s="192">
        <f>VLOOKUP(B55,'Salary -Dec-2024 (Full)'!$B$6:$AE$383,26,0)</f>
        <v>0</v>
      </c>
      <c r="AB55" s="384">
        <f t="shared" si="166"/>
        <v>2542</v>
      </c>
      <c r="AC55" s="193">
        <f t="shared" si="167"/>
        <v>15508</v>
      </c>
      <c r="AD55" s="264" t="str">
        <f>VLOOKUP(B55,'Salary -Dec-2024 (Full)'!$B$6:$AE$383,29,0)</f>
        <v>Bank</v>
      </c>
      <c r="AE55" s="264" t="str">
        <f>VLOOKUP(B55,'Salary -Dec-2024 (Full)'!$B$6:$AE$383,30,0)</f>
        <v>165.105.0014139</v>
      </c>
      <c r="AG55" s="61"/>
      <c r="AH55" s="183"/>
      <c r="AI55" s="319"/>
    </row>
    <row r="56" spans="1:35" s="47" customFormat="1" ht="24" customHeight="1">
      <c r="A56" s="253">
        <v>32</v>
      </c>
      <c r="B56" s="254" t="s">
        <v>129</v>
      </c>
      <c r="C56" s="255" t="str">
        <f>VLOOKUP(B56,'Salary -Dec-2024 (Full)'!$B$6:$D$383,2,0)</f>
        <v>Md. Yeasin Ali</v>
      </c>
      <c r="D56" s="278" t="str">
        <f>VLOOKUP(B56,'Salary -Dec-2024 (Full)'!$B$6:$D$383,3,0)</f>
        <v>Jr. Mechanic</v>
      </c>
      <c r="E56" s="256" t="str">
        <f>VLOOKUP(B56,'Salary -Dec-2024 (Full)'!$B$6:$AE$383,4,0)</f>
        <v>Technical</v>
      </c>
      <c r="F56" s="476">
        <f>VLOOKUP(B56,'Salary -Dec-2024 (Full)'!$B$6:$AE$383,5,0)</f>
        <v>44655</v>
      </c>
      <c r="G56" s="257">
        <f>VLOOKUP(B56,'Salary -Dec-2024 (Full)'!$B$6:$AE$286,6,0)</f>
        <v>31</v>
      </c>
      <c r="H56" s="258">
        <f>VLOOKUP(B56,'Salary -Dec-2024 (Full)'!$B$6:$AE$383,7,0)</f>
        <v>0</v>
      </c>
      <c r="I56" s="257">
        <f t="shared" si="158"/>
        <v>31</v>
      </c>
      <c r="J56" s="258">
        <f t="shared" si="159"/>
        <v>598.38709677419354</v>
      </c>
      <c r="K56" s="72">
        <f>VLOOKUP(B56,'Salary -Dec-2024 (Full)'!$B$6:$AE$286,10,0)</f>
        <v>18550</v>
      </c>
      <c r="L56" s="72">
        <f t="shared" si="160"/>
        <v>11130</v>
      </c>
      <c r="M56" s="72">
        <f t="shared" si="161"/>
        <v>5565</v>
      </c>
      <c r="N56" s="72">
        <f t="shared" si="162"/>
        <v>1113</v>
      </c>
      <c r="O56" s="72">
        <f t="shared" si="163"/>
        <v>742</v>
      </c>
      <c r="P56" s="259"/>
      <c r="Q56" s="260">
        <f t="shared" si="164"/>
        <v>18550</v>
      </c>
      <c r="R56" s="188">
        <f>VLOOKUP(B56,'Salary -Dec-2024 (Full)'!$B$6:$AE$383,17,0)</f>
        <v>18550</v>
      </c>
      <c r="S56" s="192">
        <f>VLOOKUP(B56,'Salary -Dec-2024 (Full)'!$B$6:$AE$383,18,0)</f>
        <v>0</v>
      </c>
      <c r="T56" s="192">
        <f>VLOOKUP(B56,'Salary -Dec-2024 (Full)'!$B$6:$AE$383,19,0)</f>
        <v>0</v>
      </c>
      <c r="U56" s="337">
        <f>VLOOKUP(B56,'Salary -Dec-2024 (Full)'!$B$6:$AE$383,20,0)</f>
        <v>0</v>
      </c>
      <c r="V56" s="263">
        <f t="shared" si="165"/>
        <v>18550</v>
      </c>
      <c r="W56" s="192">
        <f>VLOOKUP(B56,'Salary -Dec-2024 (Full)'!$B$6:$AE$383,22,0)</f>
        <v>0</v>
      </c>
      <c r="X56" s="192">
        <f>VLOOKUP(B56,'Salary -Dec-2024 (Full)'!$B$6:$AE$383,23,0)</f>
        <v>0</v>
      </c>
      <c r="Y56" s="337">
        <f>VLOOKUP(B56,'Salary -Dec-2024 (Full)'!$B$6:$AE$383,24,0)</f>
        <v>557</v>
      </c>
      <c r="Z56" s="192">
        <f>VLOOKUP(B56,'Salary -Dec-2024 (Full)'!$B$6:$AE$383,25,0)</f>
        <v>0</v>
      </c>
      <c r="AA56" s="192">
        <f>VLOOKUP(B56,'Salary -Dec-2024 (Full)'!$B$6:$AE$383,26,0)</f>
        <v>0</v>
      </c>
      <c r="AB56" s="384">
        <f t="shared" si="166"/>
        <v>557</v>
      </c>
      <c r="AC56" s="193">
        <f t="shared" si="167"/>
        <v>17993</v>
      </c>
      <c r="AD56" s="264" t="str">
        <f>VLOOKUP(B56,'Salary -Dec-2024 (Full)'!$B$6:$AE$383,29,0)</f>
        <v>Bank</v>
      </c>
      <c r="AE56" s="264" t="str">
        <f>VLOOKUP(B56,'Salary -Dec-2024 (Full)'!$B$6:$AE$383,30,0)</f>
        <v>226.158.0016006</v>
      </c>
      <c r="AG56" s="61"/>
      <c r="AH56" s="183"/>
      <c r="AI56" s="319"/>
    </row>
    <row r="57" spans="1:35" s="47" customFormat="1" ht="24" customHeight="1">
      <c r="A57" s="253">
        <v>33</v>
      </c>
      <c r="B57" s="254" t="s">
        <v>154</v>
      </c>
      <c r="C57" s="255" t="str">
        <f>VLOOKUP(B57,'Salary -Dec-2024 (Full)'!$B$6:$D$383,2,0)</f>
        <v>Shamim Akter Akash</v>
      </c>
      <c r="D57" s="278" t="str">
        <f>VLOOKUP(B57,'Salary -Dec-2024 (Full)'!$B$6:$D$383,3,0)</f>
        <v>Mechanic</v>
      </c>
      <c r="E57" s="256" t="str">
        <f>VLOOKUP(B57,'Salary -Dec-2024 (Full)'!$B$6:$AE$383,4,0)</f>
        <v>Technical</v>
      </c>
      <c r="F57" s="476">
        <f>VLOOKUP(B57,'Salary -Dec-2024 (Full)'!$B$6:$AE$383,5,0)</f>
        <v>44687</v>
      </c>
      <c r="G57" s="257">
        <f>VLOOKUP(B57,'Salary -Dec-2024 (Full)'!$B$6:$AE$286,6,0)</f>
        <v>31</v>
      </c>
      <c r="H57" s="258">
        <f>VLOOKUP(B57,'Salary -Dec-2024 (Full)'!$B$6:$AE$383,7,0)</f>
        <v>0</v>
      </c>
      <c r="I57" s="257">
        <f t="shared" si="158"/>
        <v>31</v>
      </c>
      <c r="J57" s="258">
        <f t="shared" si="159"/>
        <v>610.32258064516134</v>
      </c>
      <c r="K57" s="72">
        <f>VLOOKUP(B57,'Salary -Dec-2024 (Full)'!$B$6:$AE$286,10,0)</f>
        <v>18920</v>
      </c>
      <c r="L57" s="72">
        <f t="shared" si="160"/>
        <v>11352</v>
      </c>
      <c r="M57" s="72">
        <f t="shared" si="161"/>
        <v>5676</v>
      </c>
      <c r="N57" s="72">
        <f t="shared" si="162"/>
        <v>1135.2</v>
      </c>
      <c r="O57" s="72">
        <f t="shared" si="163"/>
        <v>756.80000000000007</v>
      </c>
      <c r="P57" s="259"/>
      <c r="Q57" s="260">
        <f t="shared" si="164"/>
        <v>18920</v>
      </c>
      <c r="R57" s="188">
        <f>VLOOKUP(B57,'Salary -Dec-2024 (Full)'!$B$6:$AE$383,17,0)</f>
        <v>18920</v>
      </c>
      <c r="S57" s="192">
        <f>VLOOKUP(B57,'Salary -Dec-2024 (Full)'!$B$6:$AE$383,18,0)</f>
        <v>0</v>
      </c>
      <c r="T57" s="192">
        <f>VLOOKUP(B57,'Salary -Dec-2024 (Full)'!$B$6:$AE$383,19,0)</f>
        <v>0</v>
      </c>
      <c r="U57" s="337">
        <f>VLOOKUP(B57,'Salary -Dec-2024 (Full)'!$B$6:$AE$383,20,0)</f>
        <v>0</v>
      </c>
      <c r="V57" s="263">
        <f t="shared" si="165"/>
        <v>18920</v>
      </c>
      <c r="W57" s="192">
        <f>VLOOKUP(B57,'Salary -Dec-2024 (Full)'!$B$6:$AE$383,22,0)</f>
        <v>0</v>
      </c>
      <c r="X57" s="192">
        <f>VLOOKUP(B57,'Salary -Dec-2024 (Full)'!$B$6:$AE$383,23,0)</f>
        <v>0</v>
      </c>
      <c r="Y57" s="337">
        <f>VLOOKUP(B57,'Salary -Dec-2024 (Full)'!$B$6:$AE$383,24,0)</f>
        <v>568</v>
      </c>
      <c r="Z57" s="192">
        <f>VLOOKUP(B57,'Salary -Dec-2024 (Full)'!$B$6:$AE$383,25,0)</f>
        <v>842</v>
      </c>
      <c r="AA57" s="192">
        <f>VLOOKUP(B57,'Salary -Dec-2024 (Full)'!$B$6:$AE$383,26,0)</f>
        <v>0</v>
      </c>
      <c r="AB57" s="384">
        <f t="shared" si="166"/>
        <v>1410</v>
      </c>
      <c r="AC57" s="193">
        <f t="shared" si="167"/>
        <v>17510</v>
      </c>
      <c r="AD57" s="264" t="str">
        <f>VLOOKUP(B57,'Salary -Dec-2024 (Full)'!$B$6:$AE$383,29,0)</f>
        <v>Bank</v>
      </c>
      <c r="AE57" s="264" t="str">
        <f>VLOOKUP(B57,'Salary -Dec-2024 (Full)'!$B$6:$AE$383,30,0)</f>
        <v>127.158.0064093</v>
      </c>
      <c r="AG57" s="61"/>
      <c r="AH57" s="183"/>
      <c r="AI57" s="319"/>
    </row>
    <row r="58" spans="1:35" s="47" customFormat="1" ht="24" customHeight="1">
      <c r="A58" s="253">
        <v>34</v>
      </c>
      <c r="B58" s="254" t="s">
        <v>157</v>
      </c>
      <c r="C58" s="255" t="str">
        <f>VLOOKUP(B58,'Salary -Dec-2024 (Full)'!$B$6:$D$383,2,0)</f>
        <v>Md. Shaon Ali</v>
      </c>
      <c r="D58" s="278" t="str">
        <f>VLOOKUP(B58,'Salary -Dec-2024 (Full)'!$B$6:$D$383,3,0)</f>
        <v>Jr. Mechanic</v>
      </c>
      <c r="E58" s="256" t="str">
        <f>VLOOKUP(B58,'Salary -Dec-2024 (Full)'!$B$6:$AE$383,4,0)</f>
        <v>Technical</v>
      </c>
      <c r="F58" s="476">
        <f>VLOOKUP(B58,'Salary -Dec-2024 (Full)'!$B$6:$AE$383,5,0)</f>
        <v>44713</v>
      </c>
      <c r="G58" s="257">
        <f>VLOOKUP(B58,'Salary -Dec-2024 (Full)'!$B$6:$AE$286,6,0)</f>
        <v>31</v>
      </c>
      <c r="H58" s="258">
        <f>VLOOKUP(B58,'Salary -Dec-2024 (Full)'!$B$6:$AE$383,7,0)</f>
        <v>0</v>
      </c>
      <c r="I58" s="257">
        <f t="shared" si="158"/>
        <v>31</v>
      </c>
      <c r="J58" s="258">
        <f t="shared" si="159"/>
        <v>569.35483870967744</v>
      </c>
      <c r="K58" s="72">
        <f>VLOOKUP(B58,'Salary -Dec-2024 (Full)'!$B$6:$AE$286,10,0)</f>
        <v>17650</v>
      </c>
      <c r="L58" s="72">
        <f t="shared" si="160"/>
        <v>10590</v>
      </c>
      <c r="M58" s="72">
        <f t="shared" si="161"/>
        <v>5295</v>
      </c>
      <c r="N58" s="72">
        <f t="shared" si="162"/>
        <v>1059</v>
      </c>
      <c r="O58" s="72">
        <f t="shared" si="163"/>
        <v>706</v>
      </c>
      <c r="P58" s="259"/>
      <c r="Q58" s="260">
        <f t="shared" si="164"/>
        <v>17650</v>
      </c>
      <c r="R58" s="188">
        <f>VLOOKUP(B58,'Salary -Dec-2024 (Full)'!$B$6:$AE$383,17,0)</f>
        <v>25000</v>
      </c>
      <c r="S58" s="192">
        <f>VLOOKUP(B58,'Salary -Dec-2024 (Full)'!$B$6:$AE$383,18,0)</f>
        <v>0</v>
      </c>
      <c r="T58" s="192">
        <f>VLOOKUP(B58,'Salary -Dec-2024 (Full)'!$B$6:$AE$383,19,0)</f>
        <v>0</v>
      </c>
      <c r="U58" s="337">
        <f>VLOOKUP(B58,'Salary -Dec-2024 (Full)'!$B$6:$AE$383,20,0)</f>
        <v>0</v>
      </c>
      <c r="V58" s="263">
        <f t="shared" si="165"/>
        <v>25000</v>
      </c>
      <c r="W58" s="192">
        <f>VLOOKUP(B58,'Salary -Dec-2024 (Full)'!$B$6:$AE$383,22,0)</f>
        <v>0</v>
      </c>
      <c r="X58" s="192">
        <f>VLOOKUP(B58,'Salary -Dec-2024 (Full)'!$B$6:$AE$383,23,0)</f>
        <v>0</v>
      </c>
      <c r="Y58" s="337">
        <f>VLOOKUP(B58,'Salary -Dec-2024 (Full)'!$B$6:$AE$383,24,0)</f>
        <v>530</v>
      </c>
      <c r="Z58" s="192">
        <f>VLOOKUP(B58,'Salary -Dec-2024 (Full)'!$B$6:$AE$383,25,0)</f>
        <v>842</v>
      </c>
      <c r="AA58" s="192">
        <f>VLOOKUP(B58,'Salary -Dec-2024 (Full)'!$B$6:$AE$383,26,0)</f>
        <v>0</v>
      </c>
      <c r="AB58" s="384">
        <f t="shared" si="166"/>
        <v>1372</v>
      </c>
      <c r="AC58" s="193">
        <f t="shared" si="167"/>
        <v>23628</v>
      </c>
      <c r="AD58" s="264" t="str">
        <f>VLOOKUP(B58,'Salary -Dec-2024 (Full)'!$B$6:$AE$383,29,0)</f>
        <v>Bank</v>
      </c>
      <c r="AE58" s="264" t="str">
        <f>VLOOKUP(B58,'Salary -Dec-2024 (Full)'!$B$6:$AE$383,30,0)</f>
        <v>289.103.0001890</v>
      </c>
      <c r="AG58" s="61"/>
      <c r="AH58" s="183"/>
      <c r="AI58" s="319"/>
    </row>
    <row r="59" spans="1:35" s="47" customFormat="1" ht="24" customHeight="1">
      <c r="A59" s="253">
        <v>35</v>
      </c>
      <c r="B59" s="254" t="s">
        <v>171</v>
      </c>
      <c r="C59" s="255" t="str">
        <f>VLOOKUP(B59,'Salary -Dec-2024 (Full)'!$B$6:$D$383,2,0)</f>
        <v>Hashim Uddin</v>
      </c>
      <c r="D59" s="278" t="str">
        <f>VLOOKUP(B59,'Salary -Dec-2024 (Full)'!$B$6:$D$383,3,0)</f>
        <v>Jr. Mechanic</v>
      </c>
      <c r="E59" s="256" t="str">
        <f>VLOOKUP(B59,'Salary -Dec-2024 (Full)'!$B$6:$AE$383,4,0)</f>
        <v>Technical</v>
      </c>
      <c r="F59" s="476">
        <f>VLOOKUP(B59,'Salary -Dec-2024 (Full)'!$B$6:$AE$383,5,0)</f>
        <v>44817</v>
      </c>
      <c r="G59" s="257">
        <f>VLOOKUP(B59,'Salary -Dec-2024 (Full)'!$B$6:$AE$286,6,0)</f>
        <v>31</v>
      </c>
      <c r="H59" s="258">
        <f>VLOOKUP(B59,'Salary -Dec-2024 (Full)'!$B$6:$AE$383,7,0)</f>
        <v>0</v>
      </c>
      <c r="I59" s="257">
        <f t="shared" si="158"/>
        <v>31</v>
      </c>
      <c r="J59" s="258">
        <f t="shared" si="159"/>
        <v>550</v>
      </c>
      <c r="K59" s="72">
        <f>VLOOKUP(B59,'Salary -Dec-2024 (Full)'!$B$6:$AE$286,10,0)</f>
        <v>17050</v>
      </c>
      <c r="L59" s="72">
        <f t="shared" si="160"/>
        <v>10230</v>
      </c>
      <c r="M59" s="72">
        <f t="shared" si="161"/>
        <v>5115</v>
      </c>
      <c r="N59" s="72">
        <f t="shared" si="162"/>
        <v>1023</v>
      </c>
      <c r="O59" s="72">
        <f t="shared" si="163"/>
        <v>682</v>
      </c>
      <c r="P59" s="259"/>
      <c r="Q59" s="260">
        <f t="shared" si="164"/>
        <v>17050</v>
      </c>
      <c r="R59" s="188">
        <f>VLOOKUP(B59,'Salary -Dec-2024 (Full)'!$B$6:$AE$383,17,0)</f>
        <v>17050</v>
      </c>
      <c r="S59" s="192">
        <f>VLOOKUP(B59,'Salary -Dec-2024 (Full)'!$B$6:$AE$383,18,0)</f>
        <v>0</v>
      </c>
      <c r="T59" s="192">
        <f>VLOOKUP(B59,'Salary -Dec-2024 (Full)'!$B$6:$AE$383,19,0)</f>
        <v>0</v>
      </c>
      <c r="U59" s="337">
        <f>VLOOKUP(B59,'Salary -Dec-2024 (Full)'!$B$6:$AE$383,20,0)</f>
        <v>0</v>
      </c>
      <c r="V59" s="263">
        <f t="shared" si="165"/>
        <v>17050</v>
      </c>
      <c r="W59" s="192">
        <f>VLOOKUP(B59,'Salary -Dec-2024 (Full)'!$B$6:$AE$383,22,0)</f>
        <v>0</v>
      </c>
      <c r="X59" s="192">
        <f>VLOOKUP(B59,'Salary -Dec-2024 (Full)'!$B$6:$AE$383,23,0)</f>
        <v>0</v>
      </c>
      <c r="Y59" s="337">
        <f>VLOOKUP(B59,'Salary -Dec-2024 (Full)'!$B$6:$AE$383,24,0)</f>
        <v>512</v>
      </c>
      <c r="Z59" s="192">
        <f>VLOOKUP(B59,'Salary -Dec-2024 (Full)'!$B$6:$AE$383,25,0)</f>
        <v>842</v>
      </c>
      <c r="AA59" s="192">
        <f>VLOOKUP(B59,'Salary -Dec-2024 (Full)'!$B$6:$AE$383,26,0)</f>
        <v>0</v>
      </c>
      <c r="AB59" s="384">
        <f t="shared" si="166"/>
        <v>1354</v>
      </c>
      <c r="AC59" s="193">
        <f t="shared" si="167"/>
        <v>15696</v>
      </c>
      <c r="AD59" s="264" t="str">
        <f>VLOOKUP(B59,'Salary -Dec-2024 (Full)'!$B$6:$AE$383,29,0)</f>
        <v>Bank</v>
      </c>
      <c r="AE59" s="264" t="str">
        <f>VLOOKUP(B59,'Salary -Dec-2024 (Full)'!$B$6:$AE$383,30,0)</f>
        <v>156.158.0056318</v>
      </c>
      <c r="AG59" s="61"/>
      <c r="AH59" s="183"/>
      <c r="AI59" s="319"/>
    </row>
    <row r="60" spans="1:35" s="47" customFormat="1" ht="24" customHeight="1">
      <c r="A60" s="253">
        <v>36</v>
      </c>
      <c r="B60" s="254" t="s">
        <v>179</v>
      </c>
      <c r="C60" s="255" t="str">
        <f>VLOOKUP(B60,'Salary -Dec-2024 (Full)'!$B$6:$D$383,2,0)</f>
        <v>Md. Aminul Haque</v>
      </c>
      <c r="D60" s="278" t="str">
        <f>VLOOKUP(B60,'Salary -Dec-2024 (Full)'!$B$6:$D$383,3,0)</f>
        <v>Mechanic</v>
      </c>
      <c r="E60" s="256" t="str">
        <f>VLOOKUP(B60,'Salary -Dec-2024 (Full)'!$B$6:$AE$383,4,0)</f>
        <v>Technical</v>
      </c>
      <c r="F60" s="476">
        <f>VLOOKUP(B60,'Salary -Dec-2024 (Full)'!$B$6:$AE$383,5,0)</f>
        <v>44835</v>
      </c>
      <c r="G60" s="257">
        <f>VLOOKUP(B60,'Salary -Dec-2024 (Full)'!$B$6:$AE$286,6,0)</f>
        <v>31</v>
      </c>
      <c r="H60" s="258">
        <f>VLOOKUP(B60,'Salary -Dec-2024 (Full)'!$B$6:$AE$383,7,0)</f>
        <v>0</v>
      </c>
      <c r="I60" s="257">
        <f t="shared" si="158"/>
        <v>31</v>
      </c>
      <c r="J60" s="258">
        <f t="shared" si="159"/>
        <v>645.16129032258061</v>
      </c>
      <c r="K60" s="72">
        <f>VLOOKUP(B60,'Salary -Dec-2024 (Full)'!$B$6:$AE$286,10,0)</f>
        <v>20000</v>
      </c>
      <c r="L60" s="72">
        <f t="shared" si="160"/>
        <v>12000</v>
      </c>
      <c r="M60" s="72">
        <f t="shared" si="161"/>
        <v>6000</v>
      </c>
      <c r="N60" s="72">
        <f t="shared" si="162"/>
        <v>1200</v>
      </c>
      <c r="O60" s="72">
        <f t="shared" si="163"/>
        <v>800</v>
      </c>
      <c r="P60" s="259"/>
      <c r="Q60" s="260">
        <f t="shared" si="164"/>
        <v>20000</v>
      </c>
      <c r="R60" s="188">
        <f>VLOOKUP(B60,'Salary -Dec-2024 (Full)'!$B$6:$AE$383,17,0)</f>
        <v>20000</v>
      </c>
      <c r="S60" s="192">
        <f>VLOOKUP(B60,'Salary -Dec-2024 (Full)'!$B$6:$AE$383,18,0)</f>
        <v>0</v>
      </c>
      <c r="T60" s="192">
        <f>VLOOKUP(B60,'Salary -Dec-2024 (Full)'!$B$6:$AE$383,19,0)</f>
        <v>0</v>
      </c>
      <c r="U60" s="337">
        <f>VLOOKUP(B60,'Salary -Dec-2024 (Full)'!$B$6:$AE$383,20,0)</f>
        <v>0</v>
      </c>
      <c r="V60" s="263">
        <f t="shared" si="165"/>
        <v>20000</v>
      </c>
      <c r="W60" s="192">
        <f>VLOOKUP(B60,'Salary -Dec-2024 (Full)'!$B$6:$AE$383,22,0)</f>
        <v>0</v>
      </c>
      <c r="X60" s="192">
        <f>VLOOKUP(B60,'Salary -Dec-2024 (Full)'!$B$6:$AE$383,23,0)</f>
        <v>0</v>
      </c>
      <c r="Y60" s="337">
        <f>VLOOKUP(B60,'Salary -Dec-2024 (Full)'!$B$6:$AE$383,24,0)</f>
        <v>600</v>
      </c>
      <c r="Z60" s="192">
        <f>VLOOKUP(B60,'Salary -Dec-2024 (Full)'!$B$6:$AE$383,25,0)</f>
        <v>2000</v>
      </c>
      <c r="AA60" s="192">
        <f>VLOOKUP(B60,'Salary -Dec-2024 (Full)'!$B$6:$AE$383,26,0)</f>
        <v>0</v>
      </c>
      <c r="AB60" s="384">
        <f t="shared" si="166"/>
        <v>2600</v>
      </c>
      <c r="AC60" s="193">
        <f t="shared" si="167"/>
        <v>17400</v>
      </c>
      <c r="AD60" s="264" t="str">
        <f>VLOOKUP(B60,'Salary -Dec-2024 (Full)'!$B$6:$AE$383,29,0)</f>
        <v>Bank</v>
      </c>
      <c r="AE60" s="264" t="str">
        <f>VLOOKUP(B60,'Salary -Dec-2024 (Full)'!$B$6:$AE$383,30,0)</f>
        <v>156.151.0066283</v>
      </c>
      <c r="AG60" s="61"/>
      <c r="AH60" s="183"/>
      <c r="AI60" s="319"/>
    </row>
    <row r="61" spans="1:35" s="47" customFormat="1" ht="24" customHeight="1">
      <c r="A61" s="253">
        <v>37</v>
      </c>
      <c r="B61" s="254" t="s">
        <v>190</v>
      </c>
      <c r="C61" s="255" t="str">
        <f>VLOOKUP(B61,'Salary -Dec-2024 (Full)'!$B$6:$D$383,2,0)</f>
        <v>Md. Saju Ahmed</v>
      </c>
      <c r="D61" s="278" t="str">
        <f>VLOOKUP(B61,'Salary -Dec-2024 (Full)'!$B$6:$D$383,3,0)</f>
        <v>Mechanic</v>
      </c>
      <c r="E61" s="256" t="str">
        <f>VLOOKUP(B61,'Salary -Dec-2024 (Full)'!$B$6:$AE$383,4,0)</f>
        <v>Technical</v>
      </c>
      <c r="F61" s="476">
        <f>VLOOKUP(B61,'Salary -Dec-2024 (Full)'!$B$6:$AE$383,5,0)</f>
        <v>44882</v>
      </c>
      <c r="G61" s="257">
        <f>VLOOKUP(B61,'Salary -Dec-2024 (Full)'!$B$6:$AE$286,6,0)</f>
        <v>31</v>
      </c>
      <c r="H61" s="258">
        <f>VLOOKUP(B61,'Salary -Dec-2024 (Full)'!$B$6:$AE$383,7,0)</f>
        <v>0</v>
      </c>
      <c r="I61" s="257">
        <f t="shared" si="158"/>
        <v>31</v>
      </c>
      <c r="J61" s="258">
        <f t="shared" si="159"/>
        <v>741.93548387096769</v>
      </c>
      <c r="K61" s="72">
        <f>VLOOKUP(B61,'Salary -Dec-2024 (Full)'!$B$6:$AE$286,10,0)</f>
        <v>23000</v>
      </c>
      <c r="L61" s="72">
        <f t="shared" si="160"/>
        <v>13800</v>
      </c>
      <c r="M61" s="72">
        <f t="shared" si="161"/>
        <v>6900</v>
      </c>
      <c r="N61" s="72">
        <f t="shared" si="162"/>
        <v>1380</v>
      </c>
      <c r="O61" s="72">
        <f t="shared" si="163"/>
        <v>920</v>
      </c>
      <c r="P61" s="259"/>
      <c r="Q61" s="260">
        <f t="shared" si="164"/>
        <v>23000</v>
      </c>
      <c r="R61" s="188">
        <f>VLOOKUP(B61,'Salary -Dec-2024 (Full)'!$B$6:$AE$383,17,0)</f>
        <v>23000</v>
      </c>
      <c r="S61" s="192">
        <f>VLOOKUP(B61,'Salary -Dec-2024 (Full)'!$B$6:$AE$383,18,0)</f>
        <v>0</v>
      </c>
      <c r="T61" s="192">
        <f>VLOOKUP(B61,'Salary -Dec-2024 (Full)'!$B$6:$AE$383,19,0)</f>
        <v>0</v>
      </c>
      <c r="U61" s="337">
        <f>VLOOKUP(B61,'Salary -Dec-2024 (Full)'!$B$6:$AE$383,20,0)</f>
        <v>0</v>
      </c>
      <c r="V61" s="263">
        <f t="shared" si="165"/>
        <v>23000</v>
      </c>
      <c r="W61" s="192">
        <f>VLOOKUP(B61,'Salary -Dec-2024 (Full)'!$B$6:$AE$383,22,0)</f>
        <v>0</v>
      </c>
      <c r="X61" s="192">
        <f>VLOOKUP(B61,'Salary -Dec-2024 (Full)'!$B$6:$AE$383,23,0)</f>
        <v>0</v>
      </c>
      <c r="Y61" s="337">
        <f>VLOOKUP(B61,'Salary -Dec-2024 (Full)'!$B$6:$AE$383,24,0)</f>
        <v>690</v>
      </c>
      <c r="Z61" s="192">
        <f>VLOOKUP(B61,'Salary -Dec-2024 (Full)'!$B$6:$AE$383,25,0)</f>
        <v>0</v>
      </c>
      <c r="AA61" s="192">
        <f>VLOOKUP(B61,'Salary -Dec-2024 (Full)'!$B$6:$AE$383,26,0)</f>
        <v>0</v>
      </c>
      <c r="AB61" s="384">
        <f t="shared" si="166"/>
        <v>690</v>
      </c>
      <c r="AC61" s="193">
        <f t="shared" si="167"/>
        <v>22310</v>
      </c>
      <c r="AD61" s="264" t="str">
        <f>VLOOKUP(B61,'Salary -Dec-2024 (Full)'!$B$6:$AE$383,29,0)</f>
        <v>Bank</v>
      </c>
      <c r="AE61" s="264" t="str">
        <f>VLOOKUP(B61,'Salary -Dec-2024 (Full)'!$B$6:$AE$383,30,0)</f>
        <v>282.105.0036019</v>
      </c>
      <c r="AG61" s="61"/>
      <c r="AH61" s="183"/>
      <c r="AI61" s="319"/>
    </row>
    <row r="62" spans="1:35" s="47" customFormat="1" ht="24" customHeight="1">
      <c r="A62" s="253">
        <v>38</v>
      </c>
      <c r="B62" s="254" t="s">
        <v>608</v>
      </c>
      <c r="C62" s="255" t="str">
        <f>VLOOKUP(B62,'Salary -Dec-2024 (Full)'!$B$6:$D$383,2,0)</f>
        <v>Md. Hasanur Rahman</v>
      </c>
      <c r="D62" s="278" t="str">
        <f>VLOOKUP(B62,'Salary -Dec-2024 (Full)'!$B$6:$D$383,3,0)</f>
        <v>Mechanic</v>
      </c>
      <c r="E62" s="256" t="str">
        <f>VLOOKUP(B62,'Salary -Dec-2024 (Full)'!$B$6:$AE$383,4,0)</f>
        <v>Technical</v>
      </c>
      <c r="F62" s="476">
        <f>VLOOKUP(B62,'Salary -Dec-2024 (Full)'!$B$6:$AE$383,5,0)</f>
        <v>45025</v>
      </c>
      <c r="G62" s="257">
        <f>VLOOKUP(B62,'Salary -Dec-2024 (Full)'!$B$6:$AE$286,6,0)</f>
        <v>31</v>
      </c>
      <c r="H62" s="258">
        <f>VLOOKUP(B62,'Salary -Dec-2024 (Full)'!$B$6:$AE$383,7,0)</f>
        <v>0</v>
      </c>
      <c r="I62" s="257">
        <f t="shared" si="158"/>
        <v>31</v>
      </c>
      <c r="J62" s="258">
        <f t="shared" si="159"/>
        <v>616.12903225806451</v>
      </c>
      <c r="K62" s="72">
        <f>VLOOKUP(B62,'Salary -Dec-2024 (Full)'!$B$6:$AE$286,10,0)</f>
        <v>19100</v>
      </c>
      <c r="L62" s="72">
        <f t="shared" si="160"/>
        <v>11460</v>
      </c>
      <c r="M62" s="72">
        <f t="shared" si="161"/>
        <v>5730</v>
      </c>
      <c r="N62" s="72">
        <f t="shared" si="162"/>
        <v>1146</v>
      </c>
      <c r="O62" s="72">
        <f t="shared" si="163"/>
        <v>764</v>
      </c>
      <c r="P62" s="259"/>
      <c r="Q62" s="260">
        <f t="shared" si="164"/>
        <v>19100</v>
      </c>
      <c r="R62" s="188">
        <f>VLOOKUP(B62,'Salary -Dec-2024 (Full)'!$B$6:$AE$383,17,0)</f>
        <v>19100</v>
      </c>
      <c r="S62" s="192">
        <f>VLOOKUP(B62,'Salary -Dec-2024 (Full)'!$B$6:$AE$383,18,0)</f>
        <v>0</v>
      </c>
      <c r="T62" s="192">
        <f>VLOOKUP(B62,'Salary -Dec-2024 (Full)'!$B$6:$AE$383,19,0)</f>
        <v>0</v>
      </c>
      <c r="U62" s="337">
        <f>VLOOKUP(B62,'Salary -Dec-2024 (Full)'!$B$6:$AE$383,20,0)</f>
        <v>0</v>
      </c>
      <c r="V62" s="263">
        <f t="shared" si="165"/>
        <v>19100</v>
      </c>
      <c r="W62" s="192">
        <f>VLOOKUP(B62,'Salary -Dec-2024 (Full)'!$B$6:$AE$383,22,0)</f>
        <v>0</v>
      </c>
      <c r="X62" s="192">
        <f>VLOOKUP(B62,'Salary -Dec-2024 (Full)'!$B$6:$AE$383,23,0)</f>
        <v>0</v>
      </c>
      <c r="Y62" s="337">
        <f>VLOOKUP(B62,'Salary -Dec-2024 (Full)'!$B$6:$AE$383,24,0)</f>
        <v>573</v>
      </c>
      <c r="Z62" s="192">
        <f>VLOOKUP(B62,'Salary -Dec-2024 (Full)'!$B$6:$AE$383,25,0)</f>
        <v>842</v>
      </c>
      <c r="AA62" s="192">
        <f>VLOOKUP(B62,'Salary -Dec-2024 (Full)'!$B$6:$AE$383,26,0)</f>
        <v>0</v>
      </c>
      <c r="AB62" s="384">
        <f t="shared" si="166"/>
        <v>1415</v>
      </c>
      <c r="AC62" s="193">
        <f t="shared" si="167"/>
        <v>17685</v>
      </c>
      <c r="AD62" s="264" t="str">
        <f>VLOOKUP(B62,'Salary -Dec-2024 (Full)'!$B$6:$AE$383,29,0)</f>
        <v>Bank</v>
      </c>
      <c r="AE62" s="264" t="str">
        <f>VLOOKUP(B62,'Salary -Dec-2024 (Full)'!$B$6:$AE$383,30,0)</f>
        <v>281.158.0012158</v>
      </c>
      <c r="AG62" s="61"/>
      <c r="AH62" s="183"/>
      <c r="AI62" s="319"/>
    </row>
    <row r="63" spans="1:35" s="47" customFormat="1" ht="24" customHeight="1">
      <c r="A63" s="253">
        <v>39</v>
      </c>
      <c r="B63" s="254" t="s">
        <v>610</v>
      </c>
      <c r="C63" s="255" t="str">
        <f>VLOOKUP(B63,'Salary -Dec-2024 (Full)'!$B$6:$D$383,2,0)</f>
        <v>Md. Raju Ahmed</v>
      </c>
      <c r="D63" s="278" t="str">
        <f>VLOOKUP(B63,'Salary -Dec-2024 (Full)'!$B$6:$D$383,3,0)</f>
        <v>Mechanic</v>
      </c>
      <c r="E63" s="256" t="str">
        <f>VLOOKUP(B63,'Salary -Dec-2024 (Full)'!$B$6:$AE$383,4,0)</f>
        <v>Techincal</v>
      </c>
      <c r="F63" s="476">
        <f>VLOOKUP(B63,'Salary -Dec-2024 (Full)'!$B$6:$AE$383,5,0)</f>
        <v>45024</v>
      </c>
      <c r="G63" s="257">
        <f>VLOOKUP(B63,'Salary -Dec-2024 (Full)'!$B$6:$AE$286,6,0)</f>
        <v>31</v>
      </c>
      <c r="H63" s="258">
        <f>VLOOKUP(B63,'Salary -Dec-2024 (Full)'!$B$6:$AE$383,7,0)</f>
        <v>0</v>
      </c>
      <c r="I63" s="257">
        <f t="shared" si="158"/>
        <v>31</v>
      </c>
      <c r="J63" s="258">
        <f t="shared" si="159"/>
        <v>581.29032258064512</v>
      </c>
      <c r="K63" s="72">
        <f>VLOOKUP(B63,'Salary -Dec-2024 (Full)'!$B$6:$AE$286,10,0)</f>
        <v>18020</v>
      </c>
      <c r="L63" s="72">
        <f t="shared" si="160"/>
        <v>10812</v>
      </c>
      <c r="M63" s="72">
        <f t="shared" si="161"/>
        <v>5406</v>
      </c>
      <c r="N63" s="72">
        <f t="shared" si="162"/>
        <v>1081.2</v>
      </c>
      <c r="O63" s="72">
        <f t="shared" si="163"/>
        <v>720.80000000000007</v>
      </c>
      <c r="P63" s="259"/>
      <c r="Q63" s="260">
        <f t="shared" si="164"/>
        <v>18020</v>
      </c>
      <c r="R63" s="188">
        <f>VLOOKUP(B63,'Salary -Dec-2024 (Full)'!$B$6:$AE$383,17,0)</f>
        <v>18020</v>
      </c>
      <c r="S63" s="192">
        <f>VLOOKUP(B63,'Salary -Dec-2024 (Full)'!$B$6:$AE$383,18,0)</f>
        <v>0</v>
      </c>
      <c r="T63" s="192">
        <f>VLOOKUP(B63,'Salary -Dec-2024 (Full)'!$B$6:$AE$383,19,0)</f>
        <v>0</v>
      </c>
      <c r="U63" s="337">
        <f>VLOOKUP(B63,'Salary -Dec-2024 (Full)'!$B$6:$AE$383,20,0)</f>
        <v>0</v>
      </c>
      <c r="V63" s="263">
        <f t="shared" si="165"/>
        <v>18020</v>
      </c>
      <c r="W63" s="192">
        <f>VLOOKUP(B63,'Salary -Dec-2024 (Full)'!$B$6:$AE$383,22,0)</f>
        <v>0</v>
      </c>
      <c r="X63" s="192">
        <f>VLOOKUP(B63,'Salary -Dec-2024 (Full)'!$B$6:$AE$383,23,0)</f>
        <v>0</v>
      </c>
      <c r="Y63" s="337">
        <f>VLOOKUP(B63,'Salary -Dec-2024 (Full)'!$B$6:$AE$383,24,0)</f>
        <v>541</v>
      </c>
      <c r="Z63" s="192">
        <f>VLOOKUP(B63,'Salary -Dec-2024 (Full)'!$B$6:$AE$383,25,0)</f>
        <v>2000</v>
      </c>
      <c r="AA63" s="192">
        <f>VLOOKUP(B63,'Salary -Dec-2024 (Full)'!$B$6:$AE$383,26,0)</f>
        <v>0</v>
      </c>
      <c r="AB63" s="384">
        <f t="shared" si="166"/>
        <v>2541</v>
      </c>
      <c r="AC63" s="193">
        <f t="shared" si="167"/>
        <v>15479</v>
      </c>
      <c r="AD63" s="264" t="str">
        <f>VLOOKUP(B63,'Salary -Dec-2024 (Full)'!$B$6:$AE$383,29,0)</f>
        <v>Bank</v>
      </c>
      <c r="AE63" s="264" t="str">
        <f>VLOOKUP(B63,'Salary -Dec-2024 (Full)'!$B$6:$AE$383,30,0)</f>
        <v>289.103.0002403</v>
      </c>
      <c r="AG63" s="61"/>
      <c r="AH63" s="183"/>
      <c r="AI63" s="319"/>
    </row>
    <row r="64" spans="1:35" s="47" customFormat="1" ht="24" customHeight="1">
      <c r="A64" s="253">
        <v>40</v>
      </c>
      <c r="B64" s="254" t="s">
        <v>615</v>
      </c>
      <c r="C64" s="255" t="str">
        <f>VLOOKUP(B64,'Salary -Dec-2024 (Full)'!$B$6:$D$383,2,0)</f>
        <v>Md. Kaiyum Babu</v>
      </c>
      <c r="D64" s="278" t="str">
        <f>VLOOKUP(B64,'Salary -Dec-2024 (Full)'!$B$6:$D$383,3,0)</f>
        <v>Mechanic</v>
      </c>
      <c r="E64" s="256" t="str">
        <f>VLOOKUP(B64,'Salary -Dec-2024 (Full)'!$B$6:$AE$383,4,0)</f>
        <v>Technical</v>
      </c>
      <c r="F64" s="476">
        <f>VLOOKUP(B64,'Salary -Dec-2024 (Full)'!$B$6:$AE$383,5,0)</f>
        <v>45032</v>
      </c>
      <c r="G64" s="257">
        <f>VLOOKUP(B64,'Salary -Dec-2024 (Full)'!$B$6:$AE$286,6,0)</f>
        <v>31</v>
      </c>
      <c r="H64" s="258">
        <f>VLOOKUP(B64,'Salary -Dec-2024 (Full)'!$B$6:$AE$383,7,0)</f>
        <v>0</v>
      </c>
      <c r="I64" s="257">
        <f t="shared" si="158"/>
        <v>31</v>
      </c>
      <c r="J64" s="258">
        <f t="shared" si="159"/>
        <v>716.12903225806451</v>
      </c>
      <c r="K64" s="72">
        <f>VLOOKUP(B64,'Salary -Dec-2024 (Full)'!$B$6:$AE$286,10,0)</f>
        <v>22200</v>
      </c>
      <c r="L64" s="72">
        <f t="shared" si="160"/>
        <v>13320</v>
      </c>
      <c r="M64" s="72">
        <f t="shared" si="161"/>
        <v>6660</v>
      </c>
      <c r="N64" s="72">
        <f t="shared" si="162"/>
        <v>1332</v>
      </c>
      <c r="O64" s="72">
        <f t="shared" si="163"/>
        <v>888</v>
      </c>
      <c r="P64" s="259"/>
      <c r="Q64" s="260">
        <f t="shared" si="164"/>
        <v>22200</v>
      </c>
      <c r="R64" s="188">
        <f>VLOOKUP(B64,'Salary -Dec-2024 (Full)'!$B$6:$AE$383,17,0)</f>
        <v>22200</v>
      </c>
      <c r="S64" s="192">
        <f>VLOOKUP(B64,'Salary -Dec-2024 (Full)'!$B$6:$AE$383,18,0)</f>
        <v>0</v>
      </c>
      <c r="T64" s="192">
        <f>VLOOKUP(B64,'Salary -Dec-2024 (Full)'!$B$6:$AE$383,19,0)</f>
        <v>0</v>
      </c>
      <c r="U64" s="337">
        <f>VLOOKUP(B64,'Salary -Dec-2024 (Full)'!$B$6:$AE$383,20,0)</f>
        <v>0</v>
      </c>
      <c r="V64" s="263">
        <f t="shared" si="165"/>
        <v>22200</v>
      </c>
      <c r="W64" s="192">
        <f>VLOOKUP(B64,'Salary -Dec-2024 (Full)'!$B$6:$AE$383,22,0)</f>
        <v>0</v>
      </c>
      <c r="X64" s="192">
        <f>VLOOKUP(B64,'Salary -Dec-2024 (Full)'!$B$6:$AE$383,23,0)</f>
        <v>0</v>
      </c>
      <c r="Y64" s="337">
        <f>VLOOKUP(B64,'Salary -Dec-2024 (Full)'!$B$6:$AE$383,24,0)</f>
        <v>666</v>
      </c>
      <c r="Z64" s="192">
        <f>VLOOKUP(B64,'Salary -Dec-2024 (Full)'!$B$6:$AE$383,25,0)</f>
        <v>2000</v>
      </c>
      <c r="AA64" s="192">
        <f>VLOOKUP(B64,'Salary -Dec-2024 (Full)'!$B$6:$AE$383,26,0)</f>
        <v>0</v>
      </c>
      <c r="AB64" s="384">
        <f t="shared" si="166"/>
        <v>2666</v>
      </c>
      <c r="AC64" s="193">
        <f t="shared" si="167"/>
        <v>19534</v>
      </c>
      <c r="AD64" s="264" t="str">
        <f>VLOOKUP(B64,'Salary -Dec-2024 (Full)'!$B$6:$AE$383,29,0)</f>
        <v>Bank</v>
      </c>
      <c r="AE64" s="264" t="str">
        <f>VLOOKUP(B64,'Salary -Dec-2024 (Full)'!$B$6:$AE$383,30,0)</f>
        <v>172.107.0054435</v>
      </c>
      <c r="AG64" s="61"/>
      <c r="AH64" s="183"/>
      <c r="AI64" s="319"/>
    </row>
    <row r="65" spans="1:35" s="47" customFormat="1" ht="24" customHeight="1">
      <c r="A65" s="253">
        <v>41</v>
      </c>
      <c r="B65" s="254" t="s">
        <v>658</v>
      </c>
      <c r="C65" s="255" t="str">
        <f>VLOOKUP(B65,'Salary -Dec-2024 (Full)'!$B$6:$D$383,2,0)</f>
        <v>Md. Abdur Rahman Sagor</v>
      </c>
      <c r="D65" s="278" t="str">
        <f>VLOOKUP(B65,'Salary -Dec-2024 (Full)'!$B$6:$D$383,3,0)</f>
        <v>Trainee Engineer</v>
      </c>
      <c r="E65" s="256" t="str">
        <f>VLOOKUP(B65,'Salary -Dec-2024 (Full)'!$B$6:$AE$383,4,0)</f>
        <v>Technical</v>
      </c>
      <c r="F65" s="476">
        <f>VLOOKUP(B65,'Salary -Dec-2024 (Full)'!$B$6:$AE$383,5,0)</f>
        <v>45061</v>
      </c>
      <c r="G65" s="257">
        <f>VLOOKUP(B65,'Salary -Dec-2024 (Full)'!$B$6:$AE$286,6,0)</f>
        <v>31</v>
      </c>
      <c r="H65" s="258">
        <f>VLOOKUP(B65,'Salary -Dec-2024 (Full)'!$B$6:$AE$383,7,0)</f>
        <v>0</v>
      </c>
      <c r="I65" s="257">
        <f t="shared" si="158"/>
        <v>31</v>
      </c>
      <c r="J65" s="258">
        <f t="shared" si="159"/>
        <v>683.87096774193549</v>
      </c>
      <c r="K65" s="72">
        <f>VLOOKUP(B65,'Salary -Dec-2024 (Full)'!$B$6:$AE$286,10,0)</f>
        <v>21200</v>
      </c>
      <c r="L65" s="72">
        <f t="shared" si="160"/>
        <v>12720</v>
      </c>
      <c r="M65" s="72">
        <f t="shared" si="161"/>
        <v>6360</v>
      </c>
      <c r="N65" s="72">
        <f t="shared" si="162"/>
        <v>1272</v>
      </c>
      <c r="O65" s="72">
        <f t="shared" si="163"/>
        <v>848</v>
      </c>
      <c r="P65" s="259"/>
      <c r="Q65" s="260">
        <f t="shared" si="164"/>
        <v>21200</v>
      </c>
      <c r="R65" s="188">
        <f>VLOOKUP(B65,'Salary -Dec-2024 (Full)'!$B$6:$AE$383,17,0)</f>
        <v>21200</v>
      </c>
      <c r="S65" s="192">
        <f>VLOOKUP(B65,'Salary -Dec-2024 (Full)'!$B$6:$AE$383,18,0)</f>
        <v>0</v>
      </c>
      <c r="T65" s="192">
        <f>VLOOKUP(B65,'Salary -Dec-2024 (Full)'!$B$6:$AE$383,19,0)</f>
        <v>0</v>
      </c>
      <c r="U65" s="337">
        <f>VLOOKUP(B65,'Salary -Dec-2024 (Full)'!$B$6:$AE$383,20,0)</f>
        <v>0</v>
      </c>
      <c r="V65" s="263">
        <f t="shared" si="165"/>
        <v>21200</v>
      </c>
      <c r="W65" s="192">
        <f>VLOOKUP(B65,'Salary -Dec-2024 (Full)'!$B$6:$AE$383,22,0)</f>
        <v>0</v>
      </c>
      <c r="X65" s="192">
        <f>VLOOKUP(B65,'Salary -Dec-2024 (Full)'!$B$6:$AE$383,23,0)</f>
        <v>0</v>
      </c>
      <c r="Y65" s="337">
        <f>VLOOKUP(B65,'Salary -Dec-2024 (Full)'!$B$6:$AE$383,24,0)</f>
        <v>636</v>
      </c>
      <c r="Z65" s="192">
        <f>VLOOKUP(B65,'Salary -Dec-2024 (Full)'!$B$6:$AE$383,25,0)</f>
        <v>0</v>
      </c>
      <c r="AA65" s="192">
        <f>VLOOKUP(B65,'Salary -Dec-2024 (Full)'!$B$6:$AE$383,26,0)</f>
        <v>0</v>
      </c>
      <c r="AB65" s="384">
        <f t="shared" si="166"/>
        <v>636</v>
      </c>
      <c r="AC65" s="193">
        <f t="shared" si="167"/>
        <v>20564</v>
      </c>
      <c r="AD65" s="264" t="str">
        <f>VLOOKUP(B65,'Salary -Dec-2024 (Full)'!$B$6:$AE$383,29,0)</f>
        <v>Bank</v>
      </c>
      <c r="AE65" s="264" t="str">
        <f>VLOOKUP(B65,'Salary -Dec-2024 (Full)'!$B$6:$AE$383,30,0)</f>
        <v>172.103.0055404</v>
      </c>
      <c r="AG65" s="61"/>
      <c r="AH65" s="183"/>
      <c r="AI65" s="319"/>
    </row>
    <row r="66" spans="1:35" s="47" customFormat="1" ht="24" customHeight="1">
      <c r="A66" s="253">
        <v>42</v>
      </c>
      <c r="B66" s="254" t="s">
        <v>660</v>
      </c>
      <c r="C66" s="255" t="str">
        <f>VLOOKUP(B66,'Salary -Dec-2024 (Full)'!$B$6:$D$383,2,0)</f>
        <v>Md. Azizul Hakim</v>
      </c>
      <c r="D66" s="278" t="str">
        <f>VLOOKUP(B66,'Salary -Dec-2024 (Full)'!$B$6:$D$383,3,0)</f>
        <v>Trainee Engineer</v>
      </c>
      <c r="E66" s="256" t="str">
        <f>VLOOKUP(B66,'Salary -Dec-2024 (Full)'!$B$6:$AE$383,4,0)</f>
        <v>Technical</v>
      </c>
      <c r="F66" s="476">
        <f>VLOOKUP(B66,'Salary -Dec-2024 (Full)'!$B$6:$AE$383,5,0)</f>
        <v>45061</v>
      </c>
      <c r="G66" s="257">
        <f>VLOOKUP(B66,'Salary -Dec-2024 (Full)'!$B$6:$AE$286,6,0)</f>
        <v>31</v>
      </c>
      <c r="H66" s="258">
        <f>VLOOKUP(B66,'Salary -Dec-2024 (Full)'!$B$6:$AE$383,7,0)</f>
        <v>0</v>
      </c>
      <c r="I66" s="257">
        <f t="shared" si="158"/>
        <v>31</v>
      </c>
      <c r="J66" s="258">
        <f t="shared" si="159"/>
        <v>677.41935483870964</v>
      </c>
      <c r="K66" s="72">
        <f>VLOOKUP(B66,'Salary -Dec-2024 (Full)'!$B$6:$AE$286,10,0)</f>
        <v>21000</v>
      </c>
      <c r="L66" s="72">
        <f t="shared" si="160"/>
        <v>12600</v>
      </c>
      <c r="M66" s="72">
        <f t="shared" si="161"/>
        <v>6300</v>
      </c>
      <c r="N66" s="72">
        <f t="shared" si="162"/>
        <v>1260</v>
      </c>
      <c r="O66" s="72">
        <f t="shared" si="163"/>
        <v>840</v>
      </c>
      <c r="P66" s="259"/>
      <c r="Q66" s="260">
        <f t="shared" si="164"/>
        <v>21000</v>
      </c>
      <c r="R66" s="188">
        <f>VLOOKUP(B66,'Salary -Dec-2024 (Full)'!$B$6:$AE$383,17,0)</f>
        <v>21000</v>
      </c>
      <c r="S66" s="192">
        <f>VLOOKUP(B66,'Salary -Dec-2024 (Full)'!$B$6:$AE$383,18,0)</f>
        <v>0</v>
      </c>
      <c r="T66" s="192">
        <f>VLOOKUP(B66,'Salary -Dec-2024 (Full)'!$B$6:$AE$383,19,0)</f>
        <v>0</v>
      </c>
      <c r="U66" s="337">
        <f>VLOOKUP(B66,'Salary -Dec-2024 (Full)'!$B$6:$AE$383,20,0)</f>
        <v>0</v>
      </c>
      <c r="V66" s="263">
        <f t="shared" si="165"/>
        <v>21000</v>
      </c>
      <c r="W66" s="192">
        <f>VLOOKUP(B66,'Salary -Dec-2024 (Full)'!$B$6:$AE$383,22,0)</f>
        <v>0</v>
      </c>
      <c r="X66" s="192">
        <f>VLOOKUP(B66,'Salary -Dec-2024 (Full)'!$B$6:$AE$383,23,0)</f>
        <v>0</v>
      </c>
      <c r="Y66" s="337">
        <f>VLOOKUP(B66,'Salary -Dec-2024 (Full)'!$B$6:$AE$383,24,0)</f>
        <v>630</v>
      </c>
      <c r="Z66" s="192">
        <f>VLOOKUP(B66,'Salary -Dec-2024 (Full)'!$B$6:$AE$383,25,0)</f>
        <v>0</v>
      </c>
      <c r="AA66" s="192">
        <f>VLOOKUP(B66,'Salary -Dec-2024 (Full)'!$B$6:$AE$383,26,0)</f>
        <v>0</v>
      </c>
      <c r="AB66" s="384">
        <f t="shared" si="166"/>
        <v>630</v>
      </c>
      <c r="AC66" s="193">
        <f t="shared" si="167"/>
        <v>20370</v>
      </c>
      <c r="AD66" s="264" t="str">
        <f>VLOOKUP(B66,'Salary -Dec-2024 (Full)'!$B$6:$AE$383,29,0)</f>
        <v>Bank</v>
      </c>
      <c r="AE66" s="264" t="str">
        <f>VLOOKUP(B66,'Salary -Dec-2024 (Full)'!$B$6:$AE$383,30,0)</f>
        <v>172.103.0055425</v>
      </c>
      <c r="AG66" s="61"/>
      <c r="AH66" s="183"/>
      <c r="AI66" s="319"/>
    </row>
    <row r="67" spans="1:35" s="47" customFormat="1" ht="24" customHeight="1">
      <c r="A67" s="253">
        <v>43</v>
      </c>
      <c r="B67" s="254" t="s">
        <v>1089</v>
      </c>
      <c r="C67" s="255" t="str">
        <f>VLOOKUP(B67,'Salary -Dec-2024 (Full)'!$B$6:$D$383,2,0)</f>
        <v>Md Rashidul Islam</v>
      </c>
      <c r="D67" s="278" t="str">
        <f>VLOOKUP(B67,'Salary -Dec-2024 (Full)'!$B$6:$D$383,3,0)</f>
        <v>Mechanic</v>
      </c>
      <c r="E67" s="256" t="str">
        <f>VLOOKUP(B67,'Salary -Dec-2024 (Full)'!$B$6:$AE$383,4,0)</f>
        <v>Technical</v>
      </c>
      <c r="F67" s="476">
        <f>VLOOKUP(B67,'Salary -Dec-2024 (Full)'!$B$6:$AE$383,5,0)</f>
        <v>45245</v>
      </c>
      <c r="G67" s="257">
        <f>VLOOKUP(B67,'Salary -Dec-2024 (Full)'!$B$6:$AE$286,6,0)</f>
        <v>31</v>
      </c>
      <c r="H67" s="258">
        <f>VLOOKUP(B67,'Salary -Dec-2024 (Full)'!$B$6:$AE$383,7,0)</f>
        <v>0</v>
      </c>
      <c r="I67" s="257">
        <f t="shared" si="158"/>
        <v>31</v>
      </c>
      <c r="J67" s="258">
        <f t="shared" si="159"/>
        <v>741.93548387096769</v>
      </c>
      <c r="K67" s="72">
        <f>VLOOKUP(B67,'Salary -Dec-2024 (Full)'!$B$6:$AE$286,10,0)</f>
        <v>23000</v>
      </c>
      <c r="L67" s="72">
        <f t="shared" si="160"/>
        <v>13800</v>
      </c>
      <c r="M67" s="72">
        <f t="shared" si="161"/>
        <v>6900</v>
      </c>
      <c r="N67" s="72">
        <f t="shared" si="162"/>
        <v>1380</v>
      </c>
      <c r="O67" s="72">
        <f t="shared" si="163"/>
        <v>920</v>
      </c>
      <c r="P67" s="259"/>
      <c r="Q67" s="260">
        <f t="shared" si="164"/>
        <v>23000</v>
      </c>
      <c r="R67" s="188">
        <f>VLOOKUP(B67,'Salary -Dec-2024 (Full)'!$B$6:$AE$383,17,0)</f>
        <v>23000</v>
      </c>
      <c r="S67" s="192">
        <f>VLOOKUP(B67,'Salary -Dec-2024 (Full)'!$B$6:$AE$383,18,0)</f>
        <v>0</v>
      </c>
      <c r="T67" s="192">
        <f>VLOOKUP(B67,'Salary -Dec-2024 (Full)'!$B$6:$AE$383,19,0)</f>
        <v>0</v>
      </c>
      <c r="U67" s="337">
        <f>VLOOKUP(B67,'Salary -Dec-2024 (Full)'!$B$6:$AE$383,20,0)</f>
        <v>0</v>
      </c>
      <c r="V67" s="263">
        <f t="shared" si="165"/>
        <v>23000</v>
      </c>
      <c r="W67" s="192">
        <f>VLOOKUP(B67,'Salary -Dec-2024 (Full)'!$B$6:$AE$383,22,0)</f>
        <v>0</v>
      </c>
      <c r="X67" s="192">
        <f>VLOOKUP(B67,'Salary -Dec-2024 (Full)'!$B$6:$AE$383,23,0)</f>
        <v>0</v>
      </c>
      <c r="Y67" s="337">
        <f>VLOOKUP(B67,'Salary -Dec-2024 (Full)'!$B$6:$AE$383,24,0)</f>
        <v>690</v>
      </c>
      <c r="Z67" s="192">
        <f>VLOOKUP(B67,'Salary -Dec-2024 (Full)'!$B$6:$AE$383,25,0)</f>
        <v>0</v>
      </c>
      <c r="AA67" s="192">
        <f>VLOOKUP(B67,'Salary -Dec-2024 (Full)'!$B$6:$AE$383,26,0)</f>
        <v>0</v>
      </c>
      <c r="AB67" s="384">
        <f t="shared" si="166"/>
        <v>690</v>
      </c>
      <c r="AC67" s="193">
        <f t="shared" si="167"/>
        <v>22310</v>
      </c>
      <c r="AD67" s="264" t="str">
        <f>VLOOKUP(B67,'Salary -Dec-2024 (Full)'!$B$6:$AE$383,29,0)</f>
        <v>Bank</v>
      </c>
      <c r="AE67" s="264" t="str">
        <f>VLOOKUP(B67,'Salary -Dec-2024 (Full)'!$B$6:$AE$383,30,0)</f>
        <v>172.158.0072690</v>
      </c>
      <c r="AG67" s="61"/>
      <c r="AH67" s="183"/>
      <c r="AI67" s="319"/>
    </row>
    <row r="68" spans="1:35" s="47" customFormat="1" ht="24" customHeight="1">
      <c r="A68" s="253">
        <v>44</v>
      </c>
      <c r="B68" s="254" t="s">
        <v>1132</v>
      </c>
      <c r="C68" s="255" t="str">
        <f>VLOOKUP(B68,'Salary -Dec-2024 (Full)'!$B$6:$D$383,2,0)</f>
        <v>Md Arif Molla</v>
      </c>
      <c r="D68" s="278" t="str">
        <f>VLOOKUP(B68,'Salary -Dec-2024 (Full)'!$B$6:$D$383,3,0)</f>
        <v>Mechanic</v>
      </c>
      <c r="E68" s="256" t="str">
        <f>VLOOKUP(B68,'Salary -Dec-2024 (Full)'!$B$6:$AE$383,4,0)</f>
        <v>Technical</v>
      </c>
      <c r="F68" s="476">
        <f>VLOOKUP(B68,'Salary -Dec-2024 (Full)'!$B$6:$AE$383,5,0)</f>
        <v>45304</v>
      </c>
      <c r="G68" s="257">
        <f>VLOOKUP(B68,'Salary -Dec-2024 (Full)'!$B$6:$AE$286,6,0)</f>
        <v>31</v>
      </c>
      <c r="H68" s="258">
        <f>VLOOKUP(B68,'Salary -Dec-2024 (Full)'!$B$6:$AE$383,7,0)</f>
        <v>0</v>
      </c>
      <c r="I68" s="257">
        <f t="shared" si="158"/>
        <v>31</v>
      </c>
      <c r="J68" s="258">
        <f t="shared" si="159"/>
        <v>580.64516129032256</v>
      </c>
      <c r="K68" s="72">
        <f>VLOOKUP(B68,'Salary -Dec-2024 (Full)'!$B$6:$AE$286,10,0)</f>
        <v>18000</v>
      </c>
      <c r="L68" s="72">
        <f t="shared" si="160"/>
        <v>10800</v>
      </c>
      <c r="M68" s="72">
        <f t="shared" si="161"/>
        <v>5400</v>
      </c>
      <c r="N68" s="72">
        <f t="shared" si="162"/>
        <v>1080</v>
      </c>
      <c r="O68" s="72">
        <f t="shared" si="163"/>
        <v>720</v>
      </c>
      <c r="P68" s="259"/>
      <c r="Q68" s="260">
        <f t="shared" si="164"/>
        <v>18000</v>
      </c>
      <c r="R68" s="188">
        <f>VLOOKUP(B68,'Salary -Dec-2024 (Full)'!$B$6:$AE$383,17,0)</f>
        <v>18000</v>
      </c>
      <c r="S68" s="192">
        <f>VLOOKUP(B68,'Salary -Dec-2024 (Full)'!$B$6:$AE$383,18,0)</f>
        <v>0</v>
      </c>
      <c r="T68" s="192">
        <f>VLOOKUP(B68,'Salary -Dec-2024 (Full)'!$B$6:$AE$383,19,0)</f>
        <v>0</v>
      </c>
      <c r="U68" s="337">
        <f>VLOOKUP(B68,'Salary -Dec-2024 (Full)'!$B$6:$AE$383,20,0)</f>
        <v>0</v>
      </c>
      <c r="V68" s="263">
        <f t="shared" si="165"/>
        <v>18000</v>
      </c>
      <c r="W68" s="192">
        <f>VLOOKUP(B68,'Salary -Dec-2024 (Full)'!$B$6:$AE$383,22,0)</f>
        <v>0</v>
      </c>
      <c r="X68" s="192">
        <f>VLOOKUP(B68,'Salary -Dec-2024 (Full)'!$B$6:$AE$383,23,0)</f>
        <v>0</v>
      </c>
      <c r="Y68" s="337">
        <f>VLOOKUP(B68,'Salary -Dec-2024 (Full)'!$B$6:$AE$383,24,0)</f>
        <v>0</v>
      </c>
      <c r="Z68" s="192">
        <f>VLOOKUP(B68,'Salary -Dec-2024 (Full)'!$B$6:$AE$383,25,0)</f>
        <v>842</v>
      </c>
      <c r="AA68" s="192">
        <f>VLOOKUP(B68,'Salary -Dec-2024 (Full)'!$B$6:$AE$383,26,0)</f>
        <v>0</v>
      </c>
      <c r="AB68" s="384">
        <f t="shared" si="166"/>
        <v>842</v>
      </c>
      <c r="AC68" s="193">
        <f t="shared" si="167"/>
        <v>17158</v>
      </c>
      <c r="AD68" s="264" t="str">
        <f>VLOOKUP(B68,'Salary -Dec-2024 (Full)'!$B$6:$AE$383,29,0)</f>
        <v>Bank</v>
      </c>
      <c r="AE68" s="264" t="str">
        <f>VLOOKUP(B68,'Salary -Dec-2024 (Full)'!$B$6:$AE$383,30,0)</f>
        <v>161.158.0009002</v>
      </c>
      <c r="AG68" s="61"/>
      <c r="AH68" s="183"/>
      <c r="AI68" s="319"/>
    </row>
    <row r="69" spans="1:35" s="47" customFormat="1" ht="24" customHeight="1">
      <c r="A69" s="253">
        <v>45</v>
      </c>
      <c r="B69" s="254" t="s">
        <v>1315</v>
      </c>
      <c r="C69" s="255" t="str">
        <f>VLOOKUP(B69,'Salary -Dec-2024 (Full)'!$B$6:$D$383,2,0)</f>
        <v>Md Anarul Islam</v>
      </c>
      <c r="D69" s="278" t="str">
        <f>VLOOKUP(B69,'Salary -Dec-2024 (Full)'!$B$6:$D$383,3,0)</f>
        <v>Sr. Mechanic</v>
      </c>
      <c r="E69" s="256" t="str">
        <f>VLOOKUP(B69,'Salary -Dec-2024 (Full)'!$B$6:$AE$383,4,0)</f>
        <v>Technical</v>
      </c>
      <c r="F69" s="476">
        <f>VLOOKUP(B69,'Salary -Dec-2024 (Full)'!$B$6:$AE$383,5,0)</f>
        <v>45397</v>
      </c>
      <c r="G69" s="257">
        <f>VLOOKUP(B69,'Salary -Dec-2024 (Full)'!$B$6:$AE$286,6,0)</f>
        <v>31</v>
      </c>
      <c r="H69" s="258">
        <f>VLOOKUP(B69,'Salary -Dec-2024 (Full)'!$B$6:$AE$383,7,0)</f>
        <v>0</v>
      </c>
      <c r="I69" s="257">
        <f t="shared" si="158"/>
        <v>31</v>
      </c>
      <c r="J69" s="258">
        <f t="shared" si="159"/>
        <v>709.67741935483866</v>
      </c>
      <c r="K69" s="72">
        <f>VLOOKUP(B69,'Salary -Dec-2024 (Full)'!$B$6:$AE$286,10,0)</f>
        <v>22000</v>
      </c>
      <c r="L69" s="72">
        <f t="shared" si="160"/>
        <v>13200</v>
      </c>
      <c r="M69" s="72">
        <f t="shared" si="161"/>
        <v>6600</v>
      </c>
      <c r="N69" s="72">
        <f t="shared" si="162"/>
        <v>1320</v>
      </c>
      <c r="O69" s="72">
        <f t="shared" si="163"/>
        <v>880</v>
      </c>
      <c r="P69" s="259"/>
      <c r="Q69" s="260">
        <f t="shared" si="164"/>
        <v>22000</v>
      </c>
      <c r="R69" s="188">
        <f>VLOOKUP(B69,'Salary -Dec-2024 (Full)'!$B$6:$AE$383,17,0)</f>
        <v>22000</v>
      </c>
      <c r="S69" s="192">
        <f>VLOOKUP(B69,'Salary -Dec-2024 (Full)'!$B$6:$AE$383,18,0)</f>
        <v>0</v>
      </c>
      <c r="T69" s="192">
        <f>VLOOKUP(B69,'Salary -Dec-2024 (Full)'!$B$6:$AE$383,19,0)</f>
        <v>0</v>
      </c>
      <c r="U69" s="337">
        <f>VLOOKUP(B69,'Salary -Dec-2024 (Full)'!$B$6:$AE$383,20,0)</f>
        <v>0</v>
      </c>
      <c r="V69" s="263">
        <f t="shared" si="165"/>
        <v>22000</v>
      </c>
      <c r="W69" s="192">
        <f>VLOOKUP(B69,'Salary -Dec-2024 (Full)'!$B$6:$AE$383,22,0)</f>
        <v>0</v>
      </c>
      <c r="X69" s="192">
        <f>VLOOKUP(B69,'Salary -Dec-2024 (Full)'!$B$6:$AE$383,23,0)</f>
        <v>0</v>
      </c>
      <c r="Y69" s="337">
        <f>VLOOKUP(B69,'Salary -Dec-2024 (Full)'!$B$6:$AE$383,24,0)</f>
        <v>0</v>
      </c>
      <c r="Z69" s="192">
        <f>VLOOKUP(B69,'Salary -Dec-2024 (Full)'!$B$6:$AE$383,25,0)</f>
        <v>0</v>
      </c>
      <c r="AA69" s="192">
        <f>VLOOKUP(B69,'Salary -Dec-2024 (Full)'!$B$6:$AE$383,26,0)</f>
        <v>0</v>
      </c>
      <c r="AB69" s="384">
        <f t="shared" si="166"/>
        <v>0</v>
      </c>
      <c r="AC69" s="193">
        <f t="shared" si="167"/>
        <v>22000</v>
      </c>
      <c r="AD69" s="264" t="str">
        <f>VLOOKUP(B69,'Salary -Dec-2024 (Full)'!$B$6:$AE$383,29,0)</f>
        <v>Bank</v>
      </c>
      <c r="AE69" s="264" t="str">
        <f>VLOOKUP(B69,'Salary -Dec-2024 (Full)'!$B$6:$AE$383,30,0)</f>
        <v>172.151.0207819</v>
      </c>
      <c r="AG69" s="61"/>
      <c r="AH69" s="183"/>
      <c r="AI69" s="319"/>
    </row>
    <row r="70" spans="1:35" s="47" customFormat="1" ht="24" customHeight="1">
      <c r="A70" s="253">
        <v>46</v>
      </c>
      <c r="B70" s="254" t="s">
        <v>1317</v>
      </c>
      <c r="C70" s="255" t="str">
        <f>VLOOKUP(B70,'Salary -Dec-2024 (Full)'!$B$6:$D$383,2,0)</f>
        <v>Md Shahin Alam</v>
      </c>
      <c r="D70" s="278" t="str">
        <f>VLOOKUP(B70,'Salary -Dec-2024 (Full)'!$B$6:$D$383,3,0)</f>
        <v>Sr. Mechanic</v>
      </c>
      <c r="E70" s="256" t="str">
        <f>VLOOKUP(B70,'Salary -Dec-2024 (Full)'!$B$6:$AE$383,4,0)</f>
        <v>Technical</v>
      </c>
      <c r="F70" s="476">
        <f>VLOOKUP(B70,'Salary -Dec-2024 (Full)'!$B$6:$AE$383,5,0)</f>
        <v>45400</v>
      </c>
      <c r="G70" s="257">
        <f>VLOOKUP(B70,'Salary -Dec-2024 (Full)'!$B$6:$AE$286,6,0)</f>
        <v>31</v>
      </c>
      <c r="H70" s="258">
        <f>VLOOKUP(B70,'Salary -Dec-2024 (Full)'!$B$6:$AE$383,7,0)</f>
        <v>0</v>
      </c>
      <c r="I70" s="257">
        <f t="shared" si="158"/>
        <v>31</v>
      </c>
      <c r="J70" s="258">
        <f t="shared" si="159"/>
        <v>774.19354838709683</v>
      </c>
      <c r="K70" s="72">
        <f>VLOOKUP(B70,'Salary -Dec-2024 (Full)'!$B$6:$AE$286,10,0)</f>
        <v>24000</v>
      </c>
      <c r="L70" s="72">
        <f t="shared" si="160"/>
        <v>14400</v>
      </c>
      <c r="M70" s="72">
        <f t="shared" si="161"/>
        <v>7200</v>
      </c>
      <c r="N70" s="72">
        <f t="shared" si="162"/>
        <v>1440</v>
      </c>
      <c r="O70" s="72">
        <f t="shared" si="163"/>
        <v>960</v>
      </c>
      <c r="P70" s="259"/>
      <c r="Q70" s="260">
        <f t="shared" si="164"/>
        <v>24000</v>
      </c>
      <c r="R70" s="188">
        <f>VLOOKUP(B70,'Salary -Dec-2024 (Full)'!$B$6:$AE$383,17,0)</f>
        <v>24000</v>
      </c>
      <c r="S70" s="192">
        <f>VLOOKUP(B70,'Salary -Dec-2024 (Full)'!$B$6:$AE$383,18,0)</f>
        <v>0</v>
      </c>
      <c r="T70" s="192">
        <f>VLOOKUP(B70,'Salary -Dec-2024 (Full)'!$B$6:$AE$383,19,0)</f>
        <v>0</v>
      </c>
      <c r="U70" s="337">
        <f>VLOOKUP(B70,'Salary -Dec-2024 (Full)'!$B$6:$AE$383,20,0)</f>
        <v>0</v>
      </c>
      <c r="V70" s="263">
        <f t="shared" si="165"/>
        <v>24000</v>
      </c>
      <c r="W70" s="192">
        <f>VLOOKUP(B70,'Salary -Dec-2024 (Full)'!$B$6:$AE$383,22,0)</f>
        <v>0</v>
      </c>
      <c r="X70" s="192">
        <f>VLOOKUP(B70,'Salary -Dec-2024 (Full)'!$B$6:$AE$383,23,0)</f>
        <v>0</v>
      </c>
      <c r="Y70" s="337">
        <f>VLOOKUP(B70,'Salary -Dec-2024 (Full)'!$B$6:$AE$383,24,0)</f>
        <v>0</v>
      </c>
      <c r="Z70" s="192">
        <f>VLOOKUP(B70,'Salary -Dec-2024 (Full)'!$B$6:$AE$383,25,0)</f>
        <v>0</v>
      </c>
      <c r="AA70" s="192">
        <f>VLOOKUP(B70,'Salary -Dec-2024 (Full)'!$B$6:$AE$383,26,0)</f>
        <v>0</v>
      </c>
      <c r="AB70" s="384">
        <f t="shared" si="166"/>
        <v>0</v>
      </c>
      <c r="AC70" s="193">
        <f t="shared" si="167"/>
        <v>24000</v>
      </c>
      <c r="AD70" s="264" t="str">
        <f>VLOOKUP(B70,'Salary -Dec-2024 (Full)'!$B$6:$AE$383,29,0)</f>
        <v>Bank</v>
      </c>
      <c r="AE70" s="264" t="str">
        <f>VLOOKUP(B70,'Salary -Dec-2024 (Full)'!$B$6:$AE$383,30,0)</f>
        <v>141.151.0224664</v>
      </c>
      <c r="AG70" s="61"/>
      <c r="AH70" s="183"/>
      <c r="AI70" s="319"/>
    </row>
    <row r="71" spans="1:35" s="47" customFormat="1" ht="24" customHeight="1">
      <c r="A71" s="253">
        <v>47</v>
      </c>
      <c r="B71" s="254" t="s">
        <v>1319</v>
      </c>
      <c r="C71" s="255" t="str">
        <f>VLOOKUP(B71,'Salary -Dec-2024 (Full)'!$B$6:$D$383,2,0)</f>
        <v>Md Yousuf Miah</v>
      </c>
      <c r="D71" s="278" t="str">
        <f>VLOOKUP(B71,'Salary -Dec-2024 (Full)'!$B$6:$D$383,3,0)</f>
        <v>Mechanic</v>
      </c>
      <c r="E71" s="256" t="str">
        <f>VLOOKUP(B71,'Salary -Dec-2024 (Full)'!$B$6:$AE$383,4,0)</f>
        <v>Technical</v>
      </c>
      <c r="F71" s="476">
        <f>VLOOKUP(B71,'Salary -Dec-2024 (Full)'!$B$6:$AE$383,5,0)</f>
        <v>45397</v>
      </c>
      <c r="G71" s="257">
        <f>VLOOKUP(B71,'Salary -Dec-2024 (Full)'!$B$6:$AE$286,6,0)</f>
        <v>31</v>
      </c>
      <c r="H71" s="258">
        <f>VLOOKUP(B71,'Salary -Dec-2024 (Full)'!$B$6:$AE$383,7,0)</f>
        <v>0</v>
      </c>
      <c r="I71" s="257">
        <f t="shared" si="158"/>
        <v>31</v>
      </c>
      <c r="J71" s="258">
        <f t="shared" si="159"/>
        <v>580.64516129032256</v>
      </c>
      <c r="K71" s="72">
        <f>VLOOKUP(B71,'Salary -Dec-2024 (Full)'!$B$6:$AE$286,10,0)</f>
        <v>18000</v>
      </c>
      <c r="L71" s="72">
        <f t="shared" si="160"/>
        <v>10800</v>
      </c>
      <c r="M71" s="72">
        <f t="shared" si="161"/>
        <v>5400</v>
      </c>
      <c r="N71" s="72">
        <f t="shared" si="162"/>
        <v>1080</v>
      </c>
      <c r="O71" s="72">
        <f t="shared" si="163"/>
        <v>720</v>
      </c>
      <c r="P71" s="259"/>
      <c r="Q71" s="260">
        <f t="shared" si="164"/>
        <v>18000</v>
      </c>
      <c r="R71" s="188">
        <f>VLOOKUP(B71,'Salary -Dec-2024 (Full)'!$B$6:$AE$383,17,0)</f>
        <v>18000</v>
      </c>
      <c r="S71" s="192">
        <f>VLOOKUP(B71,'Salary -Dec-2024 (Full)'!$B$6:$AE$383,18,0)</f>
        <v>0</v>
      </c>
      <c r="T71" s="192">
        <f>VLOOKUP(B71,'Salary -Dec-2024 (Full)'!$B$6:$AE$383,19,0)</f>
        <v>0</v>
      </c>
      <c r="U71" s="337">
        <f>VLOOKUP(B71,'Salary -Dec-2024 (Full)'!$B$6:$AE$383,20,0)</f>
        <v>0</v>
      </c>
      <c r="V71" s="263">
        <f t="shared" si="165"/>
        <v>18000</v>
      </c>
      <c r="W71" s="192">
        <f>VLOOKUP(B71,'Salary -Dec-2024 (Full)'!$B$6:$AE$383,22,0)</f>
        <v>0</v>
      </c>
      <c r="X71" s="192">
        <f>VLOOKUP(B71,'Salary -Dec-2024 (Full)'!$B$6:$AE$383,23,0)</f>
        <v>0</v>
      </c>
      <c r="Y71" s="337">
        <f>VLOOKUP(B71,'Salary -Dec-2024 (Full)'!$B$6:$AE$383,24,0)</f>
        <v>0</v>
      </c>
      <c r="Z71" s="192">
        <f>VLOOKUP(B71,'Salary -Dec-2024 (Full)'!$B$6:$AE$383,25,0)</f>
        <v>0</v>
      </c>
      <c r="AA71" s="192">
        <f>VLOOKUP(B71,'Salary -Dec-2024 (Full)'!$B$6:$AE$383,26,0)</f>
        <v>0</v>
      </c>
      <c r="AB71" s="384">
        <f t="shared" si="166"/>
        <v>0</v>
      </c>
      <c r="AC71" s="193">
        <f t="shared" si="167"/>
        <v>18000</v>
      </c>
      <c r="AD71" s="264" t="str">
        <f>VLOOKUP(B71,'Salary -Dec-2024 (Full)'!$B$6:$AE$383,29,0)</f>
        <v>Bank</v>
      </c>
      <c r="AE71" s="264" t="str">
        <f>VLOOKUP(B71,'Salary -Dec-2024 (Full)'!$B$6:$AE$383,30,0)</f>
        <v>206.158.0005904</v>
      </c>
      <c r="AG71" s="61"/>
      <c r="AH71" s="183"/>
      <c r="AI71" s="319"/>
    </row>
    <row r="72" spans="1:35" s="47" customFormat="1" ht="24" customHeight="1">
      <c r="A72" s="253">
        <v>48</v>
      </c>
      <c r="B72" s="254" t="s">
        <v>1324</v>
      </c>
      <c r="C72" s="255" t="str">
        <f>VLOOKUP(B72,'Salary -Dec-2024 (Full)'!$B$6:$D$383,2,0)</f>
        <v>Md Hasinur Roshid</v>
      </c>
      <c r="D72" s="278" t="str">
        <f>VLOOKUP(B72,'Salary -Dec-2024 (Full)'!$B$6:$D$383,3,0)</f>
        <v>Mechanic</v>
      </c>
      <c r="E72" s="256" t="str">
        <f>VLOOKUP(B72,'Salary -Dec-2024 (Full)'!$B$6:$AE$383,4,0)</f>
        <v>Technical</v>
      </c>
      <c r="F72" s="476">
        <f>VLOOKUP(B72,'Salary -Dec-2024 (Full)'!$B$6:$AE$383,5,0)</f>
        <v>45398</v>
      </c>
      <c r="G72" s="257">
        <f>VLOOKUP(B72,'Salary -Dec-2024 (Full)'!$B$6:$AE$286,6,0)</f>
        <v>31</v>
      </c>
      <c r="H72" s="258">
        <f>VLOOKUP(B72,'Salary -Dec-2024 (Full)'!$B$6:$AE$383,7,0)</f>
        <v>0</v>
      </c>
      <c r="I72" s="257">
        <f t="shared" si="158"/>
        <v>31</v>
      </c>
      <c r="J72" s="258">
        <f t="shared" si="159"/>
        <v>580.64516129032256</v>
      </c>
      <c r="K72" s="72">
        <f>VLOOKUP(B72,'Salary -Dec-2024 (Full)'!$B$6:$AE$286,10,0)</f>
        <v>18000</v>
      </c>
      <c r="L72" s="72">
        <f t="shared" si="160"/>
        <v>10800</v>
      </c>
      <c r="M72" s="72">
        <f t="shared" si="161"/>
        <v>5400</v>
      </c>
      <c r="N72" s="72">
        <f t="shared" si="162"/>
        <v>1080</v>
      </c>
      <c r="O72" s="72">
        <f t="shared" si="163"/>
        <v>720</v>
      </c>
      <c r="P72" s="259"/>
      <c r="Q72" s="260">
        <f t="shared" si="164"/>
        <v>18000</v>
      </c>
      <c r="R72" s="188">
        <f>VLOOKUP(B72,'Salary -Dec-2024 (Full)'!$B$6:$AE$383,17,0)</f>
        <v>18000</v>
      </c>
      <c r="S72" s="192">
        <f>VLOOKUP(B72,'Salary -Dec-2024 (Full)'!$B$6:$AE$383,18,0)</f>
        <v>0</v>
      </c>
      <c r="T72" s="192">
        <f>VLOOKUP(B72,'Salary -Dec-2024 (Full)'!$B$6:$AE$383,19,0)</f>
        <v>0</v>
      </c>
      <c r="U72" s="337">
        <f>VLOOKUP(B72,'Salary -Dec-2024 (Full)'!$B$6:$AE$383,20,0)</f>
        <v>0</v>
      </c>
      <c r="V72" s="263">
        <f t="shared" si="165"/>
        <v>18000</v>
      </c>
      <c r="W72" s="192">
        <f>VLOOKUP(B72,'Salary -Dec-2024 (Full)'!$B$6:$AE$383,22,0)</f>
        <v>0</v>
      </c>
      <c r="X72" s="192">
        <f>VLOOKUP(B72,'Salary -Dec-2024 (Full)'!$B$6:$AE$383,23,0)</f>
        <v>0</v>
      </c>
      <c r="Y72" s="337">
        <f>VLOOKUP(B72,'Salary -Dec-2024 (Full)'!$B$6:$AE$383,24,0)</f>
        <v>0</v>
      </c>
      <c r="Z72" s="192">
        <f>VLOOKUP(B72,'Salary -Dec-2024 (Full)'!$B$6:$AE$383,25,0)</f>
        <v>0</v>
      </c>
      <c r="AA72" s="192">
        <f>VLOOKUP(B72,'Salary -Dec-2024 (Full)'!$B$6:$AE$383,26,0)</f>
        <v>0</v>
      </c>
      <c r="AB72" s="384">
        <f t="shared" si="166"/>
        <v>0</v>
      </c>
      <c r="AC72" s="193">
        <f t="shared" si="167"/>
        <v>18000</v>
      </c>
      <c r="AD72" s="264" t="str">
        <f>VLOOKUP(B72,'Salary -Dec-2024 (Full)'!$B$6:$AE$383,29,0)</f>
        <v>Bank</v>
      </c>
      <c r="AE72" s="264" t="str">
        <f>VLOOKUP(B72,'Salary -Dec-2024 (Full)'!$B$6:$AE$383,30,0)</f>
        <v>149.103.0272190</v>
      </c>
      <c r="AG72" s="61"/>
      <c r="AH72" s="183"/>
      <c r="AI72" s="319"/>
    </row>
    <row r="73" spans="1:35" s="47" customFormat="1" ht="24" customHeight="1">
      <c r="A73" s="253">
        <v>49</v>
      </c>
      <c r="B73" s="254" t="s">
        <v>1326</v>
      </c>
      <c r="C73" s="255" t="str">
        <f>VLOOKUP(B73,'Salary -Dec-2024 (Full)'!$B$6:$D$383,2,0)</f>
        <v>Md Ainul Islam</v>
      </c>
      <c r="D73" s="278" t="str">
        <f>VLOOKUP(B73,'Salary -Dec-2024 (Full)'!$B$6:$D$383,3,0)</f>
        <v>Mechanic</v>
      </c>
      <c r="E73" s="256" t="str">
        <f>VLOOKUP(B73,'Salary -Dec-2024 (Full)'!$B$6:$AE$383,4,0)</f>
        <v>Technical</v>
      </c>
      <c r="F73" s="476">
        <f>VLOOKUP(B73,'Salary -Dec-2024 (Full)'!$B$6:$AE$383,5,0)</f>
        <v>45388</v>
      </c>
      <c r="G73" s="257">
        <f>VLOOKUP(B73,'Salary -Dec-2024 (Full)'!$B$6:$AE$286,6,0)</f>
        <v>31</v>
      </c>
      <c r="H73" s="258">
        <f>VLOOKUP(B73,'Salary -Dec-2024 (Full)'!$B$6:$AE$383,7,0)</f>
        <v>0</v>
      </c>
      <c r="I73" s="257">
        <f t="shared" si="158"/>
        <v>31</v>
      </c>
      <c r="J73" s="258">
        <f t="shared" si="159"/>
        <v>629.0322580645161</v>
      </c>
      <c r="K73" s="72">
        <f>VLOOKUP(B73,'Salary -Dec-2024 (Full)'!$B$6:$AE$286,10,0)</f>
        <v>19500</v>
      </c>
      <c r="L73" s="72">
        <f t="shared" si="160"/>
        <v>11700</v>
      </c>
      <c r="M73" s="72">
        <f t="shared" si="161"/>
        <v>5850</v>
      </c>
      <c r="N73" s="72">
        <f t="shared" si="162"/>
        <v>1170</v>
      </c>
      <c r="O73" s="72">
        <f t="shared" si="163"/>
        <v>780</v>
      </c>
      <c r="P73" s="259"/>
      <c r="Q73" s="260">
        <f t="shared" si="164"/>
        <v>19500</v>
      </c>
      <c r="R73" s="188">
        <f>VLOOKUP(B73,'Salary -Dec-2024 (Full)'!$B$6:$AE$383,17,0)</f>
        <v>19500</v>
      </c>
      <c r="S73" s="192">
        <f>VLOOKUP(B73,'Salary -Dec-2024 (Full)'!$B$6:$AE$383,18,0)</f>
        <v>0</v>
      </c>
      <c r="T73" s="192">
        <f>VLOOKUP(B73,'Salary -Dec-2024 (Full)'!$B$6:$AE$383,19,0)</f>
        <v>0</v>
      </c>
      <c r="U73" s="337">
        <f>VLOOKUP(B73,'Salary -Dec-2024 (Full)'!$B$6:$AE$383,20,0)</f>
        <v>0</v>
      </c>
      <c r="V73" s="263">
        <f t="shared" si="165"/>
        <v>19500</v>
      </c>
      <c r="W73" s="192">
        <f>VLOOKUP(B73,'Salary -Dec-2024 (Full)'!$B$6:$AE$383,22,0)</f>
        <v>0</v>
      </c>
      <c r="X73" s="192">
        <f>VLOOKUP(B73,'Salary -Dec-2024 (Full)'!$B$6:$AE$383,23,0)</f>
        <v>0</v>
      </c>
      <c r="Y73" s="337">
        <f>VLOOKUP(B73,'Salary -Dec-2024 (Full)'!$B$6:$AE$383,24,0)</f>
        <v>0</v>
      </c>
      <c r="Z73" s="192">
        <f>VLOOKUP(B73,'Salary -Dec-2024 (Full)'!$B$6:$AE$383,25,0)</f>
        <v>0</v>
      </c>
      <c r="AA73" s="192">
        <f>VLOOKUP(B73,'Salary -Dec-2024 (Full)'!$B$6:$AE$383,26,0)</f>
        <v>0</v>
      </c>
      <c r="AB73" s="384">
        <f t="shared" si="166"/>
        <v>0</v>
      </c>
      <c r="AC73" s="193">
        <f t="shared" si="167"/>
        <v>19500</v>
      </c>
      <c r="AD73" s="264" t="str">
        <f>VLOOKUP(B73,'Salary -Dec-2024 (Full)'!$B$6:$AE$383,29,0)</f>
        <v>Bank</v>
      </c>
      <c r="AE73" s="264" t="str">
        <f>VLOOKUP(B73,'Salary -Dec-2024 (Full)'!$B$6:$AE$383,30,0)</f>
        <v>103.103.1360952</v>
      </c>
      <c r="AG73" s="61"/>
      <c r="AH73" s="183"/>
      <c r="AI73" s="319"/>
    </row>
    <row r="74" spans="1:35" s="47" customFormat="1" ht="24" customHeight="1">
      <c r="A74" s="253">
        <v>50</v>
      </c>
      <c r="B74" s="254" t="s">
        <v>1328</v>
      </c>
      <c r="C74" s="255" t="str">
        <f>VLOOKUP(B74,'Salary -Dec-2024 (Full)'!$B$6:$D$383,2,0)</f>
        <v>Masud Mia</v>
      </c>
      <c r="D74" s="278" t="str">
        <f>VLOOKUP(B74,'Salary -Dec-2024 (Full)'!$B$6:$D$383,3,0)</f>
        <v>Mechanic</v>
      </c>
      <c r="E74" s="256" t="str">
        <f>VLOOKUP(B74,'Salary -Dec-2024 (Full)'!$B$6:$AE$383,4,0)</f>
        <v>Technical</v>
      </c>
      <c r="F74" s="476">
        <f>VLOOKUP(B74,'Salary -Dec-2024 (Full)'!$B$6:$AE$383,5,0)</f>
        <v>45402</v>
      </c>
      <c r="G74" s="257">
        <f>VLOOKUP(B74,'Salary -Dec-2024 (Full)'!$B$6:$AE$286,6,0)</f>
        <v>31</v>
      </c>
      <c r="H74" s="258">
        <f>VLOOKUP(B74,'Salary -Dec-2024 (Full)'!$B$6:$AE$383,7,0)</f>
        <v>0</v>
      </c>
      <c r="I74" s="257">
        <f t="shared" si="158"/>
        <v>31</v>
      </c>
      <c r="J74" s="258">
        <f t="shared" si="159"/>
        <v>580.64516129032256</v>
      </c>
      <c r="K74" s="72">
        <f>VLOOKUP(B74,'Salary -Dec-2024 (Full)'!$B$6:$AE$286,10,0)</f>
        <v>18000</v>
      </c>
      <c r="L74" s="72">
        <f t="shared" si="160"/>
        <v>10800</v>
      </c>
      <c r="M74" s="72">
        <f t="shared" si="161"/>
        <v>5400</v>
      </c>
      <c r="N74" s="72">
        <f t="shared" si="162"/>
        <v>1080</v>
      </c>
      <c r="O74" s="72">
        <f t="shared" si="163"/>
        <v>720</v>
      </c>
      <c r="P74" s="259"/>
      <c r="Q74" s="260">
        <f t="shared" si="164"/>
        <v>18000</v>
      </c>
      <c r="R74" s="188">
        <f>VLOOKUP(B74,'Salary -Dec-2024 (Full)'!$B$6:$AE$383,17,0)</f>
        <v>18000</v>
      </c>
      <c r="S74" s="192">
        <f>VLOOKUP(B74,'Salary -Dec-2024 (Full)'!$B$6:$AE$383,18,0)</f>
        <v>0</v>
      </c>
      <c r="T74" s="192">
        <f>VLOOKUP(B74,'Salary -Dec-2024 (Full)'!$B$6:$AE$383,19,0)</f>
        <v>0</v>
      </c>
      <c r="U74" s="337">
        <f>VLOOKUP(B74,'Salary -Dec-2024 (Full)'!$B$6:$AE$383,20,0)</f>
        <v>0</v>
      </c>
      <c r="V74" s="263">
        <f t="shared" si="165"/>
        <v>18000</v>
      </c>
      <c r="W74" s="192">
        <f>VLOOKUP(B74,'Salary -Dec-2024 (Full)'!$B$6:$AE$383,22,0)</f>
        <v>0</v>
      </c>
      <c r="X74" s="192">
        <f>VLOOKUP(B74,'Salary -Dec-2024 (Full)'!$B$6:$AE$383,23,0)</f>
        <v>0</v>
      </c>
      <c r="Y74" s="337">
        <f>VLOOKUP(B74,'Salary -Dec-2024 (Full)'!$B$6:$AE$383,24,0)</f>
        <v>0</v>
      </c>
      <c r="Z74" s="192">
        <f>VLOOKUP(B74,'Salary -Dec-2024 (Full)'!$B$6:$AE$383,25,0)</f>
        <v>2000</v>
      </c>
      <c r="AA74" s="192">
        <f>VLOOKUP(B74,'Salary -Dec-2024 (Full)'!$B$6:$AE$383,26,0)</f>
        <v>0</v>
      </c>
      <c r="AB74" s="384">
        <f t="shared" si="166"/>
        <v>2000</v>
      </c>
      <c r="AC74" s="193">
        <f t="shared" si="167"/>
        <v>16000</v>
      </c>
      <c r="AD74" s="264" t="str">
        <f>VLOOKUP(B74,'Salary -Dec-2024 (Full)'!$B$6:$AE$383,29,0)</f>
        <v>Bank</v>
      </c>
      <c r="AE74" s="264" t="str">
        <f>VLOOKUP(B74,'Salary -Dec-2024 (Full)'!$B$6:$AE$383,30,0)</f>
        <v>204.158.0062932</v>
      </c>
      <c r="AG74" s="61"/>
      <c r="AH74" s="183"/>
      <c r="AI74" s="319"/>
    </row>
    <row r="75" spans="1:35" s="47" customFormat="1" ht="24" customHeight="1">
      <c r="A75" s="253">
        <v>51</v>
      </c>
      <c r="B75" s="254" t="s">
        <v>1458</v>
      </c>
      <c r="C75" s="255" t="str">
        <f>VLOOKUP(B75,'Salary -Dec-2024 (Full)'!$B$6:$D$383,2,0)</f>
        <v>Md Sohel Rana</v>
      </c>
      <c r="D75" s="278" t="str">
        <f>VLOOKUP(B75,'Salary -Dec-2024 (Full)'!$B$6:$D$383,3,0)</f>
        <v>Assistant Mechanic</v>
      </c>
      <c r="E75" s="256" t="str">
        <f>VLOOKUP(B75,'Salary -Dec-2024 (Full)'!$B$6:$AE$383,4,0)</f>
        <v>Technical</v>
      </c>
      <c r="F75" s="476">
        <f>VLOOKUP(B75,'Salary -Dec-2024 (Full)'!$B$6:$AE$383,5,0)</f>
        <v>45474</v>
      </c>
      <c r="G75" s="257">
        <f>VLOOKUP(B75,'Salary -Dec-2024 (Full)'!$B$6:$AE$286,6,0)</f>
        <v>31</v>
      </c>
      <c r="H75" s="258">
        <f>VLOOKUP(B75,'Salary -Dec-2024 (Full)'!$B$6:$AE$383,7,0)</f>
        <v>0</v>
      </c>
      <c r="I75" s="257">
        <f t="shared" ref="I75:I77" si="168">G75-H75</f>
        <v>31</v>
      </c>
      <c r="J75" s="258">
        <f t="shared" ref="J75:J77" si="169">Q75/G75</f>
        <v>612.90322580645159</v>
      </c>
      <c r="K75" s="72">
        <f>VLOOKUP(B75,'Salary -Dec-2024 (Full)'!$B$6:$AE$286,10,0)</f>
        <v>19000</v>
      </c>
      <c r="L75" s="72">
        <f t="shared" ref="L75:L77" si="170">K75*60%</f>
        <v>11400</v>
      </c>
      <c r="M75" s="72">
        <f t="shared" ref="M75:M77" si="171">K75*30%</f>
        <v>5700</v>
      </c>
      <c r="N75" s="72">
        <f t="shared" ref="N75:N77" si="172">K75*6%</f>
        <v>1140</v>
      </c>
      <c r="O75" s="72">
        <f t="shared" ref="O75:O77" si="173">K75*4%</f>
        <v>760</v>
      </c>
      <c r="P75" s="259"/>
      <c r="Q75" s="260">
        <f t="shared" ref="Q75:Q77" si="174">SUM(L75:P75)</f>
        <v>19000</v>
      </c>
      <c r="R75" s="188">
        <f>VLOOKUP(B75,'Salary -Dec-2024 (Full)'!$B$6:$AE$383,17,0)</f>
        <v>19000</v>
      </c>
      <c r="S75" s="192">
        <f>VLOOKUP(B75,'Salary -Dec-2024 (Full)'!$B$6:$AE$383,18,0)</f>
        <v>0</v>
      </c>
      <c r="T75" s="192">
        <f>VLOOKUP(B75,'Salary -Dec-2024 (Full)'!$B$6:$AE$383,19,0)</f>
        <v>0</v>
      </c>
      <c r="U75" s="337">
        <f>VLOOKUP(B75,'Salary -Dec-2024 (Full)'!$B$6:$AE$383,20,0)</f>
        <v>0</v>
      </c>
      <c r="V75" s="263">
        <f t="shared" ref="V75:V77" si="175">SUM(R75:U75)</f>
        <v>19000</v>
      </c>
      <c r="W75" s="192">
        <f>VLOOKUP(B75,'Salary -Dec-2024 (Full)'!$B$6:$AE$383,22,0)</f>
        <v>0</v>
      </c>
      <c r="X75" s="192">
        <f>VLOOKUP(B75,'Salary -Dec-2024 (Full)'!$B$6:$AE$383,23,0)</f>
        <v>0</v>
      </c>
      <c r="Y75" s="337">
        <f>VLOOKUP(B75,'Salary -Dec-2024 (Full)'!$B$6:$AE$383,24,0)</f>
        <v>0</v>
      </c>
      <c r="Z75" s="192">
        <f>VLOOKUP(B75,'Salary -Dec-2024 (Full)'!$B$6:$AE$383,25,0)</f>
        <v>0</v>
      </c>
      <c r="AA75" s="192">
        <f>VLOOKUP(B75,'Salary -Dec-2024 (Full)'!$B$6:$AE$383,26,0)</f>
        <v>0</v>
      </c>
      <c r="AB75" s="384">
        <f t="shared" ref="AB75:AB77" si="176">SUM(W75:AA75)</f>
        <v>0</v>
      </c>
      <c r="AC75" s="193">
        <f t="shared" ref="AC75:AC77" si="177">ROUND(V75-AB75,0)</f>
        <v>19000</v>
      </c>
      <c r="AD75" s="264" t="str">
        <f>VLOOKUP(B75,'Salary -Dec-2024 (Full)'!$B$6:$AE$383,29,0)</f>
        <v>Bank</v>
      </c>
      <c r="AE75" s="264" t="str">
        <f>VLOOKUP(B75,'Salary -Dec-2024 (Full)'!$B$6:$AE$383,30,0)</f>
        <v>162..158.0008989</v>
      </c>
      <c r="AG75" s="61"/>
      <c r="AH75" s="183"/>
      <c r="AI75" s="319"/>
    </row>
    <row r="76" spans="1:35" s="47" customFormat="1" ht="24" customHeight="1">
      <c r="A76" s="253">
        <v>52</v>
      </c>
      <c r="B76" s="254" t="s">
        <v>1460</v>
      </c>
      <c r="C76" s="255" t="str">
        <f>VLOOKUP(B76,'Salary -Dec-2024 (Full)'!$B$6:$D$383,2,0)</f>
        <v>Md Ariful Islam</v>
      </c>
      <c r="D76" s="278" t="str">
        <f>VLOOKUP(B76,'Salary -Dec-2024 (Full)'!$B$6:$D$383,3,0)</f>
        <v>Mechanic</v>
      </c>
      <c r="E76" s="256" t="str">
        <f>VLOOKUP(B76,'Salary -Dec-2024 (Full)'!$B$6:$AE$383,4,0)</f>
        <v>Technical</v>
      </c>
      <c r="F76" s="476">
        <f>VLOOKUP(B76,'Salary -Dec-2024 (Full)'!$B$6:$AE$383,5,0)</f>
        <v>45479</v>
      </c>
      <c r="G76" s="257">
        <f>VLOOKUP(B76,'Salary -Dec-2024 (Full)'!$B$6:$AE$286,6,0)</f>
        <v>31</v>
      </c>
      <c r="H76" s="258">
        <f>VLOOKUP(B76,'Salary -Dec-2024 (Full)'!$B$6:$AE$383,7,0)</f>
        <v>0</v>
      </c>
      <c r="I76" s="257">
        <f t="shared" si="168"/>
        <v>31</v>
      </c>
      <c r="J76" s="258">
        <f t="shared" si="169"/>
        <v>580.64516129032256</v>
      </c>
      <c r="K76" s="72">
        <f>VLOOKUP(B76,'Salary -Dec-2024 (Full)'!$B$6:$AE$286,10,0)</f>
        <v>18000</v>
      </c>
      <c r="L76" s="72">
        <f t="shared" si="170"/>
        <v>10800</v>
      </c>
      <c r="M76" s="72">
        <f t="shared" si="171"/>
        <v>5400</v>
      </c>
      <c r="N76" s="72">
        <f t="shared" si="172"/>
        <v>1080</v>
      </c>
      <c r="O76" s="72">
        <f t="shared" si="173"/>
        <v>720</v>
      </c>
      <c r="P76" s="259"/>
      <c r="Q76" s="260">
        <f t="shared" si="174"/>
        <v>18000</v>
      </c>
      <c r="R76" s="188">
        <f>VLOOKUP(B76,'Salary -Dec-2024 (Full)'!$B$6:$AE$383,17,0)</f>
        <v>18000</v>
      </c>
      <c r="S76" s="192">
        <f>VLOOKUP(B76,'Salary -Dec-2024 (Full)'!$B$6:$AE$383,18,0)</f>
        <v>0</v>
      </c>
      <c r="T76" s="192">
        <f>VLOOKUP(B76,'Salary -Dec-2024 (Full)'!$B$6:$AE$383,19,0)</f>
        <v>0</v>
      </c>
      <c r="U76" s="337">
        <f>VLOOKUP(B76,'Salary -Dec-2024 (Full)'!$B$6:$AE$383,20,0)</f>
        <v>0</v>
      </c>
      <c r="V76" s="263">
        <f t="shared" si="175"/>
        <v>18000</v>
      </c>
      <c r="W76" s="192">
        <f>VLOOKUP(B76,'Salary -Dec-2024 (Full)'!$B$6:$AE$383,22,0)</f>
        <v>0</v>
      </c>
      <c r="X76" s="192">
        <f>VLOOKUP(B76,'Salary -Dec-2024 (Full)'!$B$6:$AE$383,23,0)</f>
        <v>0</v>
      </c>
      <c r="Y76" s="337">
        <f>VLOOKUP(B76,'Salary -Dec-2024 (Full)'!$B$6:$AE$383,24,0)</f>
        <v>0</v>
      </c>
      <c r="Z76" s="192">
        <f>VLOOKUP(B76,'Salary -Dec-2024 (Full)'!$B$6:$AE$383,25,0)</f>
        <v>0</v>
      </c>
      <c r="AA76" s="192">
        <f>VLOOKUP(B76,'Salary -Dec-2024 (Full)'!$B$6:$AE$383,26,0)</f>
        <v>0</v>
      </c>
      <c r="AB76" s="384">
        <f t="shared" si="176"/>
        <v>0</v>
      </c>
      <c r="AC76" s="193">
        <f t="shared" si="177"/>
        <v>18000</v>
      </c>
      <c r="AD76" s="264" t="str">
        <f>VLOOKUP(B76,'Salary -Dec-2024 (Full)'!$B$6:$AE$383,29,0)</f>
        <v>Bank</v>
      </c>
      <c r="AE76" s="264" t="str">
        <f>VLOOKUP(B76,'Salary -Dec-2024 (Full)'!$B$6:$AE$383,30,0)</f>
        <v>103.103.1377840</v>
      </c>
      <c r="AG76" s="61"/>
      <c r="AH76" s="183"/>
      <c r="AI76" s="319"/>
    </row>
    <row r="77" spans="1:35" s="47" customFormat="1" ht="24" customHeight="1">
      <c r="A77" s="253">
        <v>53</v>
      </c>
      <c r="B77" s="254" t="s">
        <v>1461</v>
      </c>
      <c r="C77" s="255" t="str">
        <f>VLOOKUP(B77,'Salary -Dec-2024 (Full)'!$B$6:$D$383,2,0)</f>
        <v>Md Al Amin</v>
      </c>
      <c r="D77" s="278" t="str">
        <f>VLOOKUP(B77,'Salary -Dec-2024 (Full)'!$B$6:$D$383,3,0)</f>
        <v>Mechanic</v>
      </c>
      <c r="E77" s="256" t="str">
        <f>VLOOKUP(B77,'Salary -Dec-2024 (Full)'!$B$6:$AE$383,4,0)</f>
        <v>Technical</v>
      </c>
      <c r="F77" s="476">
        <f>VLOOKUP(B77,'Salary -Dec-2024 (Full)'!$B$6:$AE$383,5,0)</f>
        <v>45477</v>
      </c>
      <c r="G77" s="257">
        <f>VLOOKUP(B77,'Salary -Dec-2024 (Full)'!$B$6:$AE$286,6,0)</f>
        <v>31</v>
      </c>
      <c r="H77" s="258">
        <f>VLOOKUP(B77,'Salary -Dec-2024 (Full)'!$B$6:$AE$383,7,0)</f>
        <v>0</v>
      </c>
      <c r="I77" s="257">
        <f t="shared" si="168"/>
        <v>31</v>
      </c>
      <c r="J77" s="258">
        <f t="shared" si="169"/>
        <v>709.67741935483866</v>
      </c>
      <c r="K77" s="72">
        <f>VLOOKUP(B77,'Salary -Dec-2024 (Full)'!$B$6:$AE$286,10,0)</f>
        <v>22000</v>
      </c>
      <c r="L77" s="72">
        <f t="shared" si="170"/>
        <v>13200</v>
      </c>
      <c r="M77" s="72">
        <f t="shared" si="171"/>
        <v>6600</v>
      </c>
      <c r="N77" s="72">
        <f t="shared" si="172"/>
        <v>1320</v>
      </c>
      <c r="O77" s="72">
        <f t="shared" si="173"/>
        <v>880</v>
      </c>
      <c r="P77" s="259"/>
      <c r="Q77" s="260">
        <f t="shared" si="174"/>
        <v>22000</v>
      </c>
      <c r="R77" s="188">
        <f>VLOOKUP(B77,'Salary -Dec-2024 (Full)'!$B$6:$AE$383,17,0)</f>
        <v>22000</v>
      </c>
      <c r="S77" s="192">
        <f>VLOOKUP(B77,'Salary -Dec-2024 (Full)'!$B$6:$AE$383,18,0)</f>
        <v>0</v>
      </c>
      <c r="T77" s="192">
        <f>VLOOKUP(B77,'Salary -Dec-2024 (Full)'!$B$6:$AE$383,19,0)</f>
        <v>0</v>
      </c>
      <c r="U77" s="337">
        <f>VLOOKUP(B77,'Salary -Dec-2024 (Full)'!$B$6:$AE$383,20,0)</f>
        <v>0</v>
      </c>
      <c r="V77" s="263">
        <f t="shared" si="175"/>
        <v>22000</v>
      </c>
      <c r="W77" s="192">
        <f>VLOOKUP(B77,'Salary -Dec-2024 (Full)'!$B$6:$AE$383,22,0)</f>
        <v>0</v>
      </c>
      <c r="X77" s="192">
        <f>VLOOKUP(B77,'Salary -Dec-2024 (Full)'!$B$6:$AE$383,23,0)</f>
        <v>0</v>
      </c>
      <c r="Y77" s="337">
        <f>VLOOKUP(B77,'Salary -Dec-2024 (Full)'!$B$6:$AE$383,24,0)</f>
        <v>0</v>
      </c>
      <c r="Z77" s="192">
        <f>VLOOKUP(B77,'Salary -Dec-2024 (Full)'!$B$6:$AE$383,25,0)</f>
        <v>0</v>
      </c>
      <c r="AA77" s="192">
        <f>VLOOKUP(B77,'Salary -Dec-2024 (Full)'!$B$6:$AE$383,26,0)</f>
        <v>0</v>
      </c>
      <c r="AB77" s="384">
        <f t="shared" si="176"/>
        <v>0</v>
      </c>
      <c r="AC77" s="193">
        <f t="shared" si="177"/>
        <v>22000</v>
      </c>
      <c r="AD77" s="264" t="str">
        <f>VLOOKUP(B77,'Salary -Dec-2024 (Full)'!$B$6:$AE$383,29,0)</f>
        <v>Bank</v>
      </c>
      <c r="AE77" s="264" t="str">
        <f>VLOOKUP(B77,'Salary -Dec-2024 (Full)'!$B$6:$AE$383,30,0)</f>
        <v>248.103.0023038</v>
      </c>
      <c r="AG77" s="61"/>
      <c r="AH77" s="183"/>
      <c r="AI77" s="319"/>
    </row>
    <row r="78" spans="1:35" s="47" customFormat="1" ht="24" customHeight="1">
      <c r="A78" s="253">
        <v>54</v>
      </c>
      <c r="B78" s="254" t="s">
        <v>1796</v>
      </c>
      <c r="C78" s="255" t="str">
        <f>VLOOKUP(B78,'Salary -Dec-2024 (Full)'!$B$6:$D$383,2,0)</f>
        <v>Rabbv Ahmed</v>
      </c>
      <c r="D78" s="278" t="str">
        <f>VLOOKUP(B78,'Salary -Dec-2024 (Full)'!$B$6:$D$383,3,0)</f>
        <v>Sr. Service Engineer</v>
      </c>
      <c r="E78" s="256" t="str">
        <f>VLOOKUP(B78,'Salary -Dec-2024 (Full)'!$B$6:$AE$383,4,0)</f>
        <v>Technical</v>
      </c>
      <c r="F78" s="475">
        <f>VLOOKUP(B78,'Salary -Dec-2024 (Full)'!$B$6:$AE$383,5,0)</f>
        <v>45598</v>
      </c>
      <c r="G78" s="257">
        <f>VLOOKUP(B78,'Salary -Dec-2024 (Full)'!$B$6:$AE$286,6,0)</f>
        <v>31</v>
      </c>
      <c r="H78" s="258">
        <f>VLOOKUP(B78,'Salary -Dec-2024 (Full)'!$B$6:$AE$383,7,0)</f>
        <v>0</v>
      </c>
      <c r="I78" s="257">
        <f t="shared" ref="I78:I83" si="178">G78-H78</f>
        <v>31</v>
      </c>
      <c r="J78" s="258">
        <f t="shared" ref="J78:J83" si="179">Q78/G78</f>
        <v>967.74193548387098</v>
      </c>
      <c r="K78" s="72">
        <f>VLOOKUP(B78,'Salary -Dec-2024 (Full)'!$B$6:$AE$286,10,0)</f>
        <v>30000</v>
      </c>
      <c r="L78" s="72">
        <f t="shared" ref="L78:L83" si="180">K78*60%</f>
        <v>18000</v>
      </c>
      <c r="M78" s="72">
        <f t="shared" ref="M78:M83" si="181">K78*30%</f>
        <v>9000</v>
      </c>
      <c r="N78" s="72">
        <f t="shared" ref="N78:N83" si="182">K78*6%</f>
        <v>1800</v>
      </c>
      <c r="O78" s="72">
        <f t="shared" ref="O78:O83" si="183">K78*4%</f>
        <v>1200</v>
      </c>
      <c r="P78" s="259"/>
      <c r="Q78" s="260">
        <f t="shared" ref="Q78:Q83" si="184">SUM(L78:P78)</f>
        <v>30000</v>
      </c>
      <c r="R78" s="345">
        <f>VLOOKUP(B78,'Salary -Dec-2024 (Full)'!$B$6:$AE$383,17,0)</f>
        <v>30000</v>
      </c>
      <c r="S78" s="192">
        <f>VLOOKUP(B78,'Salary -Dec-2024 (Full)'!$B$6:$AE$383,18,0)</f>
        <v>0</v>
      </c>
      <c r="T78" s="192">
        <f>VLOOKUP(B78,'Salary -Dec-2024 (Full)'!$B$6:$AE$383,19,0)</f>
        <v>0</v>
      </c>
      <c r="U78" s="337">
        <f>VLOOKUP(B78,'Salary -Dec-2024 (Full)'!$B$6:$AE$383,20,0)</f>
        <v>0</v>
      </c>
      <c r="V78" s="263">
        <f t="shared" ref="V78:V83" si="185">SUM(R78:U78)</f>
        <v>30000</v>
      </c>
      <c r="W78" s="192">
        <f>VLOOKUP(B78,'Salary -Dec-2024 (Full)'!$B$6:$AE$383,22,0)</f>
        <v>0</v>
      </c>
      <c r="X78" s="192">
        <f>VLOOKUP(B78,'Salary -Dec-2024 (Full)'!$B$6:$AE$383,23,0)</f>
        <v>0</v>
      </c>
      <c r="Y78" s="337">
        <f>VLOOKUP(B78,'Salary -Dec-2024 (Full)'!$B$6:$AE$383,24,0)</f>
        <v>0</v>
      </c>
      <c r="Z78" s="192">
        <f>VLOOKUP(B78,'Salary -Dec-2024 (Full)'!$B$6:$AE$383,25,0)</f>
        <v>0</v>
      </c>
      <c r="AA78" s="192">
        <f>VLOOKUP(B78,'Salary -Dec-2024 (Full)'!$B$6:$AE$383,26,0)</f>
        <v>0</v>
      </c>
      <c r="AB78" s="384">
        <f t="shared" ref="AB78:AB83" si="186">SUM(W78:AA78)</f>
        <v>0</v>
      </c>
      <c r="AC78" s="193">
        <f t="shared" ref="AC78:AC83" si="187">ROUND(V78-AB78,0)</f>
        <v>30000</v>
      </c>
      <c r="AD78" s="264" t="str">
        <f>VLOOKUP(B78,'Salary -Dec-2024 (Full)'!$B$6:$AE$383,29,0)</f>
        <v>Bank</v>
      </c>
      <c r="AE78" s="264" t="str">
        <f>VLOOKUP(B78,'Salary -Dec-2024 (Full)'!$B$6:$AE$383,30,0)</f>
        <v>168.105.0016969</v>
      </c>
      <c r="AH78" s="183"/>
      <c r="AI78" s="319"/>
    </row>
    <row r="79" spans="1:35" s="47" customFormat="1" ht="24" customHeight="1">
      <c r="A79" s="253">
        <v>55</v>
      </c>
      <c r="B79" s="254" t="s">
        <v>1798</v>
      </c>
      <c r="C79" s="255" t="str">
        <f>VLOOKUP(B79,'Salary -Dec-2024 (Full)'!$B$6:$D$383,2,0)</f>
        <v>Md Ripon Islam</v>
      </c>
      <c r="D79" s="278" t="str">
        <f>VLOOKUP(B79,'Salary -Dec-2024 (Full)'!$B$6:$D$383,3,0)</f>
        <v>Mechanic</v>
      </c>
      <c r="E79" s="256" t="str">
        <f>VLOOKUP(B79,'Salary -Dec-2024 (Full)'!$B$6:$AE$383,4,0)</f>
        <v>Technical</v>
      </c>
      <c r="F79" s="475">
        <f>VLOOKUP(B79,'Salary -Dec-2024 (Full)'!$B$6:$AE$383,5,0)</f>
        <v>45612</v>
      </c>
      <c r="G79" s="257">
        <f>VLOOKUP(B79,'Salary -Dec-2024 (Full)'!$B$6:$AE$286,6,0)</f>
        <v>31</v>
      </c>
      <c r="H79" s="258">
        <f>VLOOKUP(B79,'Salary -Dec-2024 (Full)'!$B$6:$AE$383,7,0)</f>
        <v>0</v>
      </c>
      <c r="I79" s="257">
        <f t="shared" si="178"/>
        <v>31</v>
      </c>
      <c r="J79" s="258">
        <f t="shared" si="179"/>
        <v>612.90322580645159</v>
      </c>
      <c r="K79" s="72">
        <f>VLOOKUP(B79,'Salary -Dec-2024 (Full)'!$B$6:$AE$286,10,0)</f>
        <v>19000</v>
      </c>
      <c r="L79" s="72">
        <f t="shared" si="180"/>
        <v>11400</v>
      </c>
      <c r="M79" s="72">
        <f t="shared" si="181"/>
        <v>5700</v>
      </c>
      <c r="N79" s="72">
        <f t="shared" si="182"/>
        <v>1140</v>
      </c>
      <c r="O79" s="72">
        <f t="shared" si="183"/>
        <v>760</v>
      </c>
      <c r="P79" s="259"/>
      <c r="Q79" s="260">
        <f t="shared" si="184"/>
        <v>19000</v>
      </c>
      <c r="R79" s="345">
        <f>VLOOKUP(B79,'Salary -Dec-2024 (Full)'!$B$6:$AE$383,17,0)</f>
        <v>19000</v>
      </c>
      <c r="S79" s="192">
        <f>VLOOKUP(B79,'Salary -Dec-2024 (Full)'!$B$6:$AE$383,18,0)</f>
        <v>0</v>
      </c>
      <c r="T79" s="192">
        <f>VLOOKUP(B79,'Salary -Dec-2024 (Full)'!$B$6:$AE$383,19,0)</f>
        <v>0</v>
      </c>
      <c r="U79" s="337">
        <f>VLOOKUP(B79,'Salary -Dec-2024 (Full)'!$B$6:$AE$383,20,0)</f>
        <v>0</v>
      </c>
      <c r="V79" s="263">
        <f t="shared" si="185"/>
        <v>19000</v>
      </c>
      <c r="W79" s="192">
        <f>VLOOKUP(B79,'Salary -Dec-2024 (Full)'!$B$6:$AE$383,22,0)</f>
        <v>0</v>
      </c>
      <c r="X79" s="192">
        <f>VLOOKUP(B79,'Salary -Dec-2024 (Full)'!$B$6:$AE$383,23,0)</f>
        <v>0</v>
      </c>
      <c r="Y79" s="337">
        <f>VLOOKUP(B79,'Salary -Dec-2024 (Full)'!$B$6:$AE$383,24,0)</f>
        <v>0</v>
      </c>
      <c r="Z79" s="192">
        <f>VLOOKUP(B79,'Salary -Dec-2024 (Full)'!$B$6:$AE$383,25,0)</f>
        <v>842</v>
      </c>
      <c r="AA79" s="192">
        <f>VLOOKUP(B79,'Salary -Dec-2024 (Full)'!$B$6:$AE$383,26,0)</f>
        <v>0</v>
      </c>
      <c r="AB79" s="384">
        <f t="shared" si="186"/>
        <v>842</v>
      </c>
      <c r="AC79" s="193">
        <f t="shared" si="187"/>
        <v>18158</v>
      </c>
      <c r="AD79" s="264" t="str">
        <f>VLOOKUP(B79,'Salary -Dec-2024 (Full)'!$B$6:$AE$383,29,0)</f>
        <v>Bank</v>
      </c>
      <c r="AE79" s="264" t="str">
        <f>VLOOKUP(B79,'Salary -Dec-2024 (Full)'!$B$6:$AE$383,30,0)</f>
        <v>163.107.0096267</v>
      </c>
      <c r="AH79" s="183"/>
      <c r="AI79" s="319"/>
    </row>
    <row r="80" spans="1:35" s="47" customFormat="1" ht="24" customHeight="1">
      <c r="A80" s="253">
        <v>56</v>
      </c>
      <c r="B80" s="254" t="s">
        <v>1800</v>
      </c>
      <c r="C80" s="255" t="str">
        <f>VLOOKUP(B80,'Salary -Dec-2024 (Full)'!$B$6:$D$383,2,0)</f>
        <v>Md Forid Hossen</v>
      </c>
      <c r="D80" s="278" t="str">
        <f>VLOOKUP(B80,'Salary -Dec-2024 (Full)'!$B$6:$D$383,3,0)</f>
        <v>Mechanic</v>
      </c>
      <c r="E80" s="256" t="str">
        <f>VLOOKUP(B80,'Salary -Dec-2024 (Full)'!$B$6:$AE$383,4,0)</f>
        <v>Technical</v>
      </c>
      <c r="F80" s="475">
        <f>VLOOKUP(B80,'Salary -Dec-2024 (Full)'!$B$6:$AE$383,5,0)</f>
        <v>45598</v>
      </c>
      <c r="G80" s="257">
        <f>VLOOKUP(B80,'Salary -Dec-2024 (Full)'!$B$6:$AE$286,6,0)</f>
        <v>31</v>
      </c>
      <c r="H80" s="258">
        <f>VLOOKUP(B80,'Salary -Dec-2024 (Full)'!$B$6:$AE$383,7,0)</f>
        <v>0</v>
      </c>
      <c r="I80" s="257">
        <f t="shared" si="178"/>
        <v>31</v>
      </c>
      <c r="J80" s="258">
        <f t="shared" si="179"/>
        <v>645.16129032258061</v>
      </c>
      <c r="K80" s="72">
        <f>VLOOKUP(B80,'Salary -Dec-2024 (Full)'!$B$6:$AE$286,10,0)</f>
        <v>20000</v>
      </c>
      <c r="L80" s="72">
        <f t="shared" si="180"/>
        <v>12000</v>
      </c>
      <c r="M80" s="72">
        <f t="shared" si="181"/>
        <v>6000</v>
      </c>
      <c r="N80" s="72">
        <f t="shared" si="182"/>
        <v>1200</v>
      </c>
      <c r="O80" s="72">
        <f t="shared" si="183"/>
        <v>800</v>
      </c>
      <c r="P80" s="259"/>
      <c r="Q80" s="260">
        <f t="shared" si="184"/>
        <v>20000</v>
      </c>
      <c r="R80" s="345">
        <f>VLOOKUP(B80,'Salary -Dec-2024 (Full)'!$B$6:$AE$383,17,0)</f>
        <v>20000</v>
      </c>
      <c r="S80" s="192">
        <f>VLOOKUP(B80,'Salary -Dec-2024 (Full)'!$B$6:$AE$383,18,0)</f>
        <v>0</v>
      </c>
      <c r="T80" s="192">
        <f>VLOOKUP(B80,'Salary -Dec-2024 (Full)'!$B$6:$AE$383,19,0)</f>
        <v>0</v>
      </c>
      <c r="U80" s="337">
        <f>VLOOKUP(B80,'Salary -Dec-2024 (Full)'!$B$6:$AE$383,20,0)</f>
        <v>0</v>
      </c>
      <c r="V80" s="263">
        <f t="shared" si="185"/>
        <v>20000</v>
      </c>
      <c r="W80" s="192">
        <f>VLOOKUP(B80,'Salary -Dec-2024 (Full)'!$B$6:$AE$383,22,0)</f>
        <v>0</v>
      </c>
      <c r="X80" s="192">
        <f>VLOOKUP(B80,'Salary -Dec-2024 (Full)'!$B$6:$AE$383,23,0)</f>
        <v>0</v>
      </c>
      <c r="Y80" s="337">
        <f>VLOOKUP(B80,'Salary -Dec-2024 (Full)'!$B$6:$AE$383,24,0)</f>
        <v>0</v>
      </c>
      <c r="Z80" s="192">
        <f>VLOOKUP(B80,'Salary -Dec-2024 (Full)'!$B$6:$AE$383,25,0)</f>
        <v>842</v>
      </c>
      <c r="AA80" s="192">
        <f>VLOOKUP(B80,'Salary -Dec-2024 (Full)'!$B$6:$AE$383,26,0)</f>
        <v>0</v>
      </c>
      <c r="AB80" s="384">
        <f t="shared" si="186"/>
        <v>842</v>
      </c>
      <c r="AC80" s="193">
        <f t="shared" si="187"/>
        <v>19158</v>
      </c>
      <c r="AD80" s="264" t="str">
        <f>VLOOKUP(B80,'Salary -Dec-2024 (Full)'!$B$6:$AE$383,29,0)</f>
        <v>Bank</v>
      </c>
      <c r="AE80" s="264" t="str">
        <f>VLOOKUP(B80,'Salary -Dec-2024 (Full)'!$B$6:$AE$383,30,0)</f>
        <v>343.158.0012643</v>
      </c>
      <c r="AH80" s="183"/>
      <c r="AI80" s="319"/>
    </row>
    <row r="81" spans="1:35" s="47" customFormat="1" ht="24" customHeight="1">
      <c r="A81" s="253">
        <v>57</v>
      </c>
      <c r="B81" s="254" t="s">
        <v>1805</v>
      </c>
      <c r="C81" s="255" t="str">
        <f>VLOOKUP(B81,'Salary -Dec-2024 (Full)'!$B$6:$D$383,2,0)</f>
        <v>Md Sakib Hasan</v>
      </c>
      <c r="D81" s="278" t="str">
        <f>VLOOKUP(B81,'Salary -Dec-2024 (Full)'!$B$6:$D$383,3,0)</f>
        <v>Trainee Mechanic</v>
      </c>
      <c r="E81" s="256" t="str">
        <f>VLOOKUP(B81,'Salary -Dec-2024 (Full)'!$B$6:$AE$383,4,0)</f>
        <v>Technical</v>
      </c>
      <c r="F81" s="475">
        <f>VLOOKUP(B81,'Salary -Dec-2024 (Full)'!$B$6:$AE$383,5,0)</f>
        <v>45614</v>
      </c>
      <c r="G81" s="257">
        <f>VLOOKUP(B81,'Salary -Dec-2024 (Full)'!$B$6:$AE$286,6,0)</f>
        <v>31</v>
      </c>
      <c r="H81" s="258">
        <f>VLOOKUP(B81,'Salary -Dec-2024 (Full)'!$B$6:$AE$383,7,0)</f>
        <v>0</v>
      </c>
      <c r="I81" s="257">
        <f t="shared" si="178"/>
        <v>31</v>
      </c>
      <c r="J81" s="258">
        <f t="shared" si="179"/>
        <v>451.61290322580646</v>
      </c>
      <c r="K81" s="72">
        <f>VLOOKUP(B81,'Salary -Dec-2024 (Full)'!$B$6:$AE$286,10,0)</f>
        <v>14000</v>
      </c>
      <c r="L81" s="72">
        <f t="shared" si="180"/>
        <v>8400</v>
      </c>
      <c r="M81" s="72">
        <f t="shared" si="181"/>
        <v>4200</v>
      </c>
      <c r="N81" s="72">
        <f t="shared" si="182"/>
        <v>840</v>
      </c>
      <c r="O81" s="72">
        <f t="shared" si="183"/>
        <v>560</v>
      </c>
      <c r="P81" s="259"/>
      <c r="Q81" s="260">
        <f t="shared" si="184"/>
        <v>14000</v>
      </c>
      <c r="R81" s="345">
        <f>VLOOKUP(B81,'Salary -Dec-2024 (Full)'!$B$6:$AE$383,17,0)</f>
        <v>14000</v>
      </c>
      <c r="S81" s="192">
        <f>VLOOKUP(B81,'Salary -Dec-2024 (Full)'!$B$6:$AE$383,18,0)</f>
        <v>0</v>
      </c>
      <c r="T81" s="192">
        <f>VLOOKUP(B81,'Salary -Dec-2024 (Full)'!$B$6:$AE$383,19,0)</f>
        <v>0</v>
      </c>
      <c r="U81" s="337">
        <f>VLOOKUP(B81,'Salary -Dec-2024 (Full)'!$B$6:$AE$383,20,0)</f>
        <v>0</v>
      </c>
      <c r="V81" s="263">
        <f t="shared" si="185"/>
        <v>14000</v>
      </c>
      <c r="W81" s="192">
        <f>VLOOKUP(B81,'Salary -Dec-2024 (Full)'!$B$6:$AE$383,22,0)</f>
        <v>0</v>
      </c>
      <c r="X81" s="192">
        <f>VLOOKUP(B81,'Salary -Dec-2024 (Full)'!$B$6:$AE$383,23,0)</f>
        <v>0</v>
      </c>
      <c r="Y81" s="337">
        <f>VLOOKUP(B81,'Salary -Dec-2024 (Full)'!$B$6:$AE$383,24,0)</f>
        <v>0</v>
      </c>
      <c r="Z81" s="192">
        <f>VLOOKUP(B81,'Salary -Dec-2024 (Full)'!$B$6:$AE$383,25,0)</f>
        <v>0</v>
      </c>
      <c r="AA81" s="192">
        <f>VLOOKUP(B81,'Salary -Dec-2024 (Full)'!$B$6:$AE$383,26,0)</f>
        <v>0</v>
      </c>
      <c r="AB81" s="384">
        <f t="shared" si="186"/>
        <v>0</v>
      </c>
      <c r="AC81" s="193">
        <f t="shared" si="187"/>
        <v>14000</v>
      </c>
      <c r="AD81" s="264" t="str">
        <f>VLOOKUP(B81,'Salary -Dec-2024 (Full)'!$B$6:$AE$383,29,0)</f>
        <v>Bank</v>
      </c>
      <c r="AE81" s="264" t="str">
        <f>VLOOKUP(B81,'Salary -Dec-2024 (Full)'!$B$6:$AE$383,30,0)</f>
        <v>187.158.0091520</v>
      </c>
      <c r="AH81" s="183"/>
      <c r="AI81" s="319"/>
    </row>
    <row r="82" spans="1:35" s="47" customFormat="1" ht="24" customHeight="1">
      <c r="A82" s="253">
        <v>58</v>
      </c>
      <c r="B82" s="254" t="s">
        <v>1808</v>
      </c>
      <c r="C82" s="255" t="str">
        <f>VLOOKUP(B82,'Salary -Dec-2024 (Full)'!$B$6:$D$383,2,0)</f>
        <v>Md Rifat Hasan</v>
      </c>
      <c r="D82" s="278" t="str">
        <f>VLOOKUP(B82,'Salary -Dec-2024 (Full)'!$B$6:$D$383,3,0)</f>
        <v>Trainee Mechanic</v>
      </c>
      <c r="E82" s="256" t="str">
        <f>VLOOKUP(B82,'Salary -Dec-2024 (Full)'!$B$6:$AE$383,4,0)</f>
        <v>Technical</v>
      </c>
      <c r="F82" s="475">
        <f>VLOOKUP(B82,'Salary -Dec-2024 (Full)'!$B$6:$AE$383,5,0)</f>
        <v>45614</v>
      </c>
      <c r="G82" s="257">
        <f>VLOOKUP(B82,'Salary -Dec-2024 (Full)'!$B$6:$AE$286,6,0)</f>
        <v>31</v>
      </c>
      <c r="H82" s="258">
        <f>VLOOKUP(B82,'Salary -Dec-2024 (Full)'!$B$6:$AE$383,7,0)</f>
        <v>0</v>
      </c>
      <c r="I82" s="257">
        <f t="shared" si="178"/>
        <v>31</v>
      </c>
      <c r="J82" s="258">
        <f t="shared" si="179"/>
        <v>451.61290322580646</v>
      </c>
      <c r="K82" s="72">
        <f>VLOOKUP(B82,'Salary -Dec-2024 (Full)'!$B$6:$AE$286,10,0)</f>
        <v>14000</v>
      </c>
      <c r="L82" s="72">
        <f t="shared" si="180"/>
        <v>8400</v>
      </c>
      <c r="M82" s="72">
        <f t="shared" si="181"/>
        <v>4200</v>
      </c>
      <c r="N82" s="72">
        <f t="shared" si="182"/>
        <v>840</v>
      </c>
      <c r="O82" s="72">
        <f t="shared" si="183"/>
        <v>560</v>
      </c>
      <c r="P82" s="259"/>
      <c r="Q82" s="260">
        <f t="shared" si="184"/>
        <v>14000</v>
      </c>
      <c r="R82" s="345">
        <f>VLOOKUP(B82,'Salary -Dec-2024 (Full)'!$B$6:$AE$383,17,0)</f>
        <v>14000</v>
      </c>
      <c r="S82" s="192">
        <f>VLOOKUP(B82,'Salary -Dec-2024 (Full)'!$B$6:$AE$383,18,0)</f>
        <v>0</v>
      </c>
      <c r="T82" s="192">
        <f>VLOOKUP(B82,'Salary -Dec-2024 (Full)'!$B$6:$AE$383,19,0)</f>
        <v>0</v>
      </c>
      <c r="U82" s="337">
        <f>VLOOKUP(B82,'Salary -Dec-2024 (Full)'!$B$6:$AE$383,20,0)</f>
        <v>0</v>
      </c>
      <c r="V82" s="263">
        <f t="shared" si="185"/>
        <v>14000</v>
      </c>
      <c r="W82" s="192">
        <f>VLOOKUP(B82,'Salary -Dec-2024 (Full)'!$B$6:$AE$383,22,0)</f>
        <v>0</v>
      </c>
      <c r="X82" s="192">
        <f>VLOOKUP(B82,'Salary -Dec-2024 (Full)'!$B$6:$AE$383,23,0)</f>
        <v>0</v>
      </c>
      <c r="Y82" s="337">
        <f>VLOOKUP(B82,'Salary -Dec-2024 (Full)'!$B$6:$AE$383,24,0)</f>
        <v>0</v>
      </c>
      <c r="Z82" s="192">
        <f>VLOOKUP(B82,'Salary -Dec-2024 (Full)'!$B$6:$AE$383,25,0)</f>
        <v>0</v>
      </c>
      <c r="AA82" s="192">
        <f>VLOOKUP(B82,'Salary -Dec-2024 (Full)'!$B$6:$AE$383,26,0)</f>
        <v>0</v>
      </c>
      <c r="AB82" s="384">
        <f t="shared" si="186"/>
        <v>0</v>
      </c>
      <c r="AC82" s="193">
        <f t="shared" si="187"/>
        <v>14000</v>
      </c>
      <c r="AD82" s="264" t="str">
        <f>VLOOKUP(B82,'Salary -Dec-2024 (Full)'!$B$6:$AE$383,29,0)</f>
        <v>Cash</v>
      </c>
      <c r="AE82" s="264">
        <f>VLOOKUP(B82,'Salary -Dec-2024 (Full)'!$B$6:$AE$383,30,0)</f>
        <v>0</v>
      </c>
      <c r="AH82" s="183"/>
      <c r="AI82" s="319"/>
    </row>
    <row r="83" spans="1:35" s="47" customFormat="1" ht="24" customHeight="1">
      <c r="A83" s="253">
        <v>59</v>
      </c>
      <c r="B83" s="254" t="s">
        <v>1812</v>
      </c>
      <c r="C83" s="255" t="str">
        <f>VLOOKUP(B83,'Salary -Dec-2024 (Full)'!$B$6:$D$383,2,0)</f>
        <v>Md Rabiul Islam</v>
      </c>
      <c r="D83" s="278" t="str">
        <f>VLOOKUP(B83,'Salary -Dec-2024 (Full)'!$B$6:$D$383,3,0)</f>
        <v>Mechanic</v>
      </c>
      <c r="E83" s="256" t="str">
        <f>VLOOKUP(B83,'Salary -Dec-2024 (Full)'!$B$6:$AE$383,4,0)</f>
        <v>Technical</v>
      </c>
      <c r="F83" s="475">
        <f>VLOOKUP(B83,'Salary -Dec-2024 (Full)'!$B$6:$AE$383,5,0)</f>
        <v>45619</v>
      </c>
      <c r="G83" s="257">
        <f>VLOOKUP(B83,'Salary -Dec-2024 (Full)'!$B$6:$AE$286,6,0)</f>
        <v>31</v>
      </c>
      <c r="H83" s="258">
        <f>VLOOKUP(B83,'Salary -Dec-2024 (Full)'!$B$6:$AE$383,7,0)</f>
        <v>0</v>
      </c>
      <c r="I83" s="257">
        <f t="shared" si="178"/>
        <v>31</v>
      </c>
      <c r="J83" s="258">
        <f t="shared" si="179"/>
        <v>580.64516129032256</v>
      </c>
      <c r="K83" s="72">
        <f>VLOOKUP(B83,'Salary -Dec-2024 (Full)'!$B$6:$AE$286,10,0)</f>
        <v>18000</v>
      </c>
      <c r="L83" s="72">
        <f t="shared" si="180"/>
        <v>10800</v>
      </c>
      <c r="M83" s="72">
        <f t="shared" si="181"/>
        <v>5400</v>
      </c>
      <c r="N83" s="72">
        <f t="shared" si="182"/>
        <v>1080</v>
      </c>
      <c r="O83" s="72">
        <f t="shared" si="183"/>
        <v>720</v>
      </c>
      <c r="P83" s="259"/>
      <c r="Q83" s="260">
        <f t="shared" si="184"/>
        <v>18000</v>
      </c>
      <c r="R83" s="345">
        <f>VLOOKUP(B83,'Salary -Dec-2024 (Full)'!$B$6:$AE$383,17,0)</f>
        <v>18000</v>
      </c>
      <c r="S83" s="192">
        <f>VLOOKUP(B83,'Salary -Dec-2024 (Full)'!$B$6:$AE$383,18,0)</f>
        <v>0</v>
      </c>
      <c r="T83" s="192">
        <f>VLOOKUP(B83,'Salary -Dec-2024 (Full)'!$B$6:$AE$383,19,0)</f>
        <v>0</v>
      </c>
      <c r="U83" s="337">
        <f>VLOOKUP(B83,'Salary -Dec-2024 (Full)'!$B$6:$AE$383,20,0)</f>
        <v>0</v>
      </c>
      <c r="V83" s="263">
        <f t="shared" si="185"/>
        <v>18000</v>
      </c>
      <c r="W83" s="192">
        <f>VLOOKUP(B83,'Salary -Dec-2024 (Full)'!$B$6:$AE$383,22,0)</f>
        <v>0</v>
      </c>
      <c r="X83" s="192">
        <f>VLOOKUP(B83,'Salary -Dec-2024 (Full)'!$B$6:$AE$383,23,0)</f>
        <v>0</v>
      </c>
      <c r="Y83" s="337">
        <f>VLOOKUP(B83,'Salary -Dec-2024 (Full)'!$B$6:$AE$383,24,0)</f>
        <v>0</v>
      </c>
      <c r="Z83" s="192">
        <f>VLOOKUP(B83,'Salary -Dec-2024 (Full)'!$B$6:$AE$383,25,0)</f>
        <v>0</v>
      </c>
      <c r="AA83" s="192">
        <f>VLOOKUP(B83,'Salary -Dec-2024 (Full)'!$B$6:$AE$383,26,0)</f>
        <v>0</v>
      </c>
      <c r="AB83" s="384">
        <f t="shared" si="186"/>
        <v>0</v>
      </c>
      <c r="AC83" s="193">
        <f t="shared" si="187"/>
        <v>18000</v>
      </c>
      <c r="AD83" s="264" t="str">
        <f>VLOOKUP(B83,'Salary -Dec-2024 (Full)'!$B$6:$AE$383,29,0)</f>
        <v>Cash</v>
      </c>
      <c r="AE83" s="264">
        <f>VLOOKUP(B83,'Salary -Dec-2024 (Full)'!$B$6:$AE$383,30,0)</f>
        <v>0</v>
      </c>
      <c r="AH83" s="183"/>
      <c r="AI83" s="319"/>
    </row>
    <row r="84" spans="1:35" s="61" customFormat="1" ht="24" customHeight="1">
      <c r="A84" s="1031" t="s">
        <v>67</v>
      </c>
      <c r="B84" s="1032"/>
      <c r="C84" s="1033"/>
      <c r="D84" s="1034"/>
      <c r="E84" s="1040"/>
      <c r="F84" s="1091"/>
      <c r="G84" s="1040"/>
      <c r="H84" s="1040"/>
      <c r="I84" s="1040"/>
      <c r="J84" s="1040"/>
      <c r="K84" s="1037">
        <f t="shared" ref="K84:AC84" si="188">SUM(K25:K83)</f>
        <v>1178800</v>
      </c>
      <c r="L84" s="1037">
        <f t="shared" si="188"/>
        <v>707280</v>
      </c>
      <c r="M84" s="1037">
        <f t="shared" si="188"/>
        <v>353640</v>
      </c>
      <c r="N84" s="1037">
        <f t="shared" si="188"/>
        <v>70728</v>
      </c>
      <c r="O84" s="1037">
        <f t="shared" si="188"/>
        <v>47152</v>
      </c>
      <c r="P84" s="1037">
        <f t="shared" si="188"/>
        <v>0</v>
      </c>
      <c r="Q84" s="1037">
        <f t="shared" si="188"/>
        <v>1178800</v>
      </c>
      <c r="R84" s="1037">
        <f t="shared" si="188"/>
        <v>1164408</v>
      </c>
      <c r="S84" s="1037">
        <f t="shared" si="188"/>
        <v>0</v>
      </c>
      <c r="T84" s="1037">
        <f t="shared" si="188"/>
        <v>0</v>
      </c>
      <c r="U84" s="1037">
        <f t="shared" si="188"/>
        <v>0</v>
      </c>
      <c r="V84" s="1037">
        <f t="shared" si="188"/>
        <v>1164408</v>
      </c>
      <c r="W84" s="1037">
        <f t="shared" si="188"/>
        <v>0</v>
      </c>
      <c r="X84" s="1037">
        <f t="shared" si="188"/>
        <v>0</v>
      </c>
      <c r="Y84" s="1037">
        <f t="shared" si="188"/>
        <v>23712</v>
      </c>
      <c r="Z84" s="1037">
        <f t="shared" si="188"/>
        <v>40420</v>
      </c>
      <c r="AA84" s="1037">
        <f t="shared" si="188"/>
        <v>0</v>
      </c>
      <c r="AB84" s="1037">
        <f t="shared" si="188"/>
        <v>64132</v>
      </c>
      <c r="AC84" s="1037">
        <f t="shared" si="188"/>
        <v>1100276</v>
      </c>
      <c r="AD84" s="1037"/>
      <c r="AE84" s="1038"/>
      <c r="AH84" s="183"/>
      <c r="AI84" s="320"/>
    </row>
    <row r="85" spans="1:35" s="47" customFormat="1" ht="24" customHeight="1">
      <c r="A85" s="347" t="s">
        <v>319</v>
      </c>
      <c r="B85" s="268"/>
      <c r="C85" s="268"/>
      <c r="D85" s="348"/>
      <c r="E85" s="268"/>
      <c r="F85" s="474"/>
      <c r="G85" s="268"/>
      <c r="H85" s="267"/>
      <c r="I85" s="268"/>
      <c r="J85" s="268"/>
      <c r="K85" s="268"/>
      <c r="L85" s="268"/>
      <c r="M85" s="268"/>
      <c r="N85" s="268"/>
      <c r="O85" s="268"/>
      <c r="P85" s="268"/>
      <c r="Q85" s="268"/>
      <c r="R85" s="268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557"/>
      <c r="AG85" s="61"/>
      <c r="AH85" s="183"/>
      <c r="AI85" s="320"/>
    </row>
    <row r="86" spans="1:35" s="47" customFormat="1" ht="24" customHeight="1">
      <c r="A86" s="339">
        <v>1</v>
      </c>
      <c r="B86" s="340" t="s">
        <v>323</v>
      </c>
      <c r="C86" s="341" t="str">
        <f>VLOOKUP(B86,'Salary -Dec-2024 (Full)'!$B$6:$D$383,2,0)</f>
        <v>Md. Sabbir Hossen</v>
      </c>
      <c r="D86" s="342" t="str">
        <f>VLOOKUP(B86,'Salary -Dec-2024 (Full)'!$B$6:$D$383,3,0)</f>
        <v>Store Officer</v>
      </c>
      <c r="E86" s="343" t="str">
        <f>VLOOKUP(B86,'Salary -Dec-2024 (Full)'!$B$6:$AE$383,4,0)</f>
        <v>Store &amp; Logistics</v>
      </c>
      <c r="F86" s="477">
        <f>VLOOKUP(B86,'Salary -Dec-2024 (Full)'!$B$6:$AE$383,5,0)</f>
        <v>44650</v>
      </c>
      <c r="G86" s="257">
        <f>VLOOKUP(B86,'Salary -Dec-2024 (Full)'!$B$6:$AE$286,6,0)</f>
        <v>31</v>
      </c>
      <c r="H86" s="258">
        <f>VLOOKUP(B86,'Salary -Dec-2024 (Full)'!$B$6:$AE$383,7,0)</f>
        <v>0</v>
      </c>
      <c r="I86" s="257">
        <f t="shared" ref="I86:I89" si="189">G86-H86</f>
        <v>31</v>
      </c>
      <c r="J86" s="258">
        <f t="shared" ref="J86:J89" si="190">Q86/G86</f>
        <v>806.45161290322585</v>
      </c>
      <c r="K86" s="192">
        <f>VLOOKUP(B86,'Salary -Dec-2024 (Full)'!$B$6:$AE$383,10,0)</f>
        <v>25000</v>
      </c>
      <c r="L86" s="192">
        <f t="shared" ref="L86:L89" si="191">K86*60%</f>
        <v>15000</v>
      </c>
      <c r="M86" s="192">
        <f t="shared" ref="M86:M89" si="192">K86*30%</f>
        <v>7500</v>
      </c>
      <c r="N86" s="192">
        <f t="shared" ref="N86:N89" si="193">K86*6%</f>
        <v>1500</v>
      </c>
      <c r="O86" s="192">
        <f t="shared" ref="O86:O89" si="194">K86*4%</f>
        <v>1000</v>
      </c>
      <c r="P86" s="344">
        <v>0</v>
      </c>
      <c r="Q86" s="345">
        <f>SUM(L86:P86)</f>
        <v>25000</v>
      </c>
      <c r="R86" s="188">
        <f>VLOOKUP(B86,'Salary -Dec-2024 (Full)'!$B$6:$AE$383,17,0)</f>
        <v>25000</v>
      </c>
      <c r="S86" s="192">
        <f>VLOOKUP(B86,'Salary -Dec-2024 (Full)'!$B$6:$AE$383,18,0)</f>
        <v>0</v>
      </c>
      <c r="T86" s="192">
        <f>VLOOKUP(B86,'Salary -Dec-2024 (Full)'!$B$6:$AE$383,19,0)</f>
        <v>0</v>
      </c>
      <c r="U86" s="337">
        <f>VLOOKUP(B86,'Salary -Dec-2024 (Full)'!$B$6:$AE$383,20,0)</f>
        <v>0</v>
      </c>
      <c r="V86" s="338">
        <f>SUM(R86:U86)</f>
        <v>25000</v>
      </c>
      <c r="W86" s="192">
        <f>VLOOKUP(B86,'Salary -Dec-2024 (Full)'!$B$6:$AE$383,22,0)</f>
        <v>0</v>
      </c>
      <c r="X86" s="192">
        <f>VLOOKUP(B86,'Salary -Dec-2024 (Full)'!$B$6:$AE$383,23,0)</f>
        <v>0</v>
      </c>
      <c r="Y86" s="337">
        <f>VLOOKUP(B86,'Salary -Dec-2024 (Full)'!$B$6:$AE$383,24,0)</f>
        <v>750</v>
      </c>
      <c r="Z86" s="192">
        <f>VLOOKUP(B86,'Salary -Dec-2024 (Full)'!$B$6:$AE$383,25,0)</f>
        <v>0</v>
      </c>
      <c r="AA86" s="192">
        <f>VLOOKUP(B86,'Salary -Dec-2024 (Full)'!$B$6:$AE$383,26,0)</f>
        <v>5000</v>
      </c>
      <c r="AB86" s="384">
        <f t="shared" ref="AB86:AB92" si="195">SUM(W86:AA86)</f>
        <v>5750</v>
      </c>
      <c r="AC86" s="193">
        <f t="shared" ref="AC86:AC92" si="196">ROUND(V86-AB86,0)</f>
        <v>19250</v>
      </c>
      <c r="AD86" s="264" t="str">
        <f>VLOOKUP(B86,'Salary -Dec-2024 (Full)'!$B$6:$AE$383,29,0)</f>
        <v>Bank</v>
      </c>
      <c r="AE86" s="264" t="str">
        <f>VLOOKUP(B86,'Salary -Dec-2024 (Full)'!$B$6:$AE$383,30,0)</f>
        <v>163.158.0032550</v>
      </c>
      <c r="AG86" s="61"/>
      <c r="AH86" s="183"/>
      <c r="AI86" s="319"/>
    </row>
    <row r="87" spans="1:35" s="47" customFormat="1" ht="24" customHeight="1">
      <c r="A87" s="253">
        <v>2</v>
      </c>
      <c r="B87" s="254" t="s">
        <v>332</v>
      </c>
      <c r="C87" s="255" t="str">
        <f>VLOOKUP(B87,'Salary -Dec-2024 (Full)'!$B$6:$D$383,2,0)</f>
        <v>Md Obaydur Rahman</v>
      </c>
      <c r="D87" s="278" t="str">
        <f>VLOOKUP(B87,'Salary -Dec-2024 (Full)'!$B$6:$D$383,3,0)</f>
        <v>Store Assistant</v>
      </c>
      <c r="E87" s="256" t="str">
        <f>VLOOKUP(B87,'Salary -Dec-2024 (Full)'!$B$6:$AE$383,4,0)</f>
        <v>Store &amp; Logistics</v>
      </c>
      <c r="F87" s="475">
        <f>VLOOKUP(B87,'Salary -Dec-2024 (Full)'!$B$6:$AE$383,5,0)</f>
        <v>44619</v>
      </c>
      <c r="G87" s="257">
        <f>VLOOKUP(B87,'Salary -Dec-2024 (Full)'!$B$6:$AE$286,6,0)</f>
        <v>31</v>
      </c>
      <c r="H87" s="258">
        <f>VLOOKUP(B87,'Salary -Dec-2024 (Full)'!$B$6:$AE$383,7,0)</f>
        <v>0</v>
      </c>
      <c r="I87" s="257">
        <f t="shared" si="189"/>
        <v>31</v>
      </c>
      <c r="J87" s="258">
        <f t="shared" si="190"/>
        <v>741.93548387096769</v>
      </c>
      <c r="K87" s="72">
        <f>VLOOKUP(B87,'Salary -Dec-2024 (Full)'!$B$6:$AE$383,10,0)</f>
        <v>23000</v>
      </c>
      <c r="L87" s="72">
        <f t="shared" si="191"/>
        <v>13800</v>
      </c>
      <c r="M87" s="72">
        <f t="shared" si="192"/>
        <v>6900</v>
      </c>
      <c r="N87" s="72">
        <f t="shared" si="193"/>
        <v>1380</v>
      </c>
      <c r="O87" s="72">
        <f t="shared" si="194"/>
        <v>920</v>
      </c>
      <c r="P87" s="259"/>
      <c r="Q87" s="260">
        <f t="shared" ref="Q87:Q89" si="197">SUM(L87:P87)</f>
        <v>23000</v>
      </c>
      <c r="R87" s="188">
        <f>VLOOKUP(B87,'Salary -Dec-2024 (Full)'!$B$6:$AE$383,17,0)</f>
        <v>23000</v>
      </c>
      <c r="S87" s="192">
        <f>VLOOKUP(B87,'Salary -Dec-2024 (Full)'!$B$6:$AE$383,18,0)</f>
        <v>0</v>
      </c>
      <c r="T87" s="192">
        <f>VLOOKUP(B87,'Salary -Dec-2024 (Full)'!$B$6:$AE$383,19,0)</f>
        <v>0</v>
      </c>
      <c r="U87" s="337">
        <f>VLOOKUP(B87,'Salary -Dec-2024 (Full)'!$B$6:$AE$383,20,0)</f>
        <v>0</v>
      </c>
      <c r="V87" s="263">
        <f t="shared" ref="V87:V89" si="198">SUM(R87:U87)</f>
        <v>23000</v>
      </c>
      <c r="W87" s="192">
        <f>VLOOKUP(B87,'Salary -Dec-2024 (Full)'!$B$6:$AE$383,22,0)</f>
        <v>0</v>
      </c>
      <c r="X87" s="192">
        <f>VLOOKUP(B87,'Salary -Dec-2024 (Full)'!$B$6:$AE$383,23,0)</f>
        <v>0</v>
      </c>
      <c r="Y87" s="337">
        <f>VLOOKUP(B87,'Salary -Dec-2024 (Full)'!$B$6:$AE$383,24,0)</f>
        <v>690</v>
      </c>
      <c r="Z87" s="192">
        <f>VLOOKUP(B87,'Salary -Dec-2024 (Full)'!$B$6:$AE$383,25,0)</f>
        <v>0</v>
      </c>
      <c r="AA87" s="192">
        <f>VLOOKUP(B87,'Salary -Dec-2024 (Full)'!$B$6:$AE$383,26,0)</f>
        <v>0</v>
      </c>
      <c r="AB87" s="384">
        <f t="shared" si="195"/>
        <v>690</v>
      </c>
      <c r="AC87" s="193">
        <f t="shared" si="196"/>
        <v>22310</v>
      </c>
      <c r="AD87" s="264" t="str">
        <f>VLOOKUP(B87,'Salary -Dec-2024 (Full)'!$B$6:$AE$383,29,0)</f>
        <v>Bank</v>
      </c>
      <c r="AE87" s="264" t="str">
        <f>VLOOKUP(B87,'Salary -Dec-2024 (Full)'!$B$6:$AE$383,30,0)</f>
        <v>245.158.0004319</v>
      </c>
      <c r="AG87" s="61"/>
      <c r="AH87" s="183"/>
      <c r="AI87" s="319"/>
    </row>
    <row r="88" spans="1:35" s="47" customFormat="1" ht="24" customHeight="1">
      <c r="A88" s="253">
        <v>3</v>
      </c>
      <c r="B88" s="254" t="s">
        <v>329</v>
      </c>
      <c r="C88" s="255" t="str">
        <f>VLOOKUP(B88,'Salary -Dec-2024 (Full)'!$B$6:$D$383,2,0)</f>
        <v>Md. Rashedul Islam</v>
      </c>
      <c r="D88" s="278" t="str">
        <f>VLOOKUP(B88,'Salary -Dec-2024 (Full)'!$B$6:$D$383,3,0)</f>
        <v>Sr. Store Officer</v>
      </c>
      <c r="E88" s="256" t="str">
        <f>VLOOKUP(B88,'Salary -Dec-2024 (Full)'!$B$6:$AE$383,4,0)</f>
        <v>Store &amp; Logistics</v>
      </c>
      <c r="F88" s="475">
        <f>VLOOKUP(B88,'Salary -Dec-2024 (Full)'!$B$6:$AE$383,5,0)</f>
        <v>44661</v>
      </c>
      <c r="G88" s="257">
        <f>VLOOKUP(B88,'Salary -Dec-2024 (Full)'!$B$6:$AE$286,6,0)</f>
        <v>31</v>
      </c>
      <c r="H88" s="258">
        <f>VLOOKUP(B88,'Salary -Dec-2024 (Full)'!$B$6:$AE$383,7,0)</f>
        <v>0</v>
      </c>
      <c r="I88" s="257">
        <f t="shared" ref="I88" si="199">G88-H88</f>
        <v>31</v>
      </c>
      <c r="J88" s="258">
        <f t="shared" ref="J88" si="200">Q88/G88</f>
        <v>951.61290322580646</v>
      </c>
      <c r="K88" s="72">
        <f>VLOOKUP(B88,'Salary -Dec-2024 (Full)'!$B$6:$AE$383,10,0)</f>
        <v>29500</v>
      </c>
      <c r="L88" s="72">
        <f t="shared" ref="L88" si="201">K88*60%</f>
        <v>17700</v>
      </c>
      <c r="M88" s="72">
        <f t="shared" ref="M88" si="202">K88*30%</f>
        <v>8850</v>
      </c>
      <c r="N88" s="72">
        <f t="shared" ref="N88" si="203">K88*6%</f>
        <v>1770</v>
      </c>
      <c r="O88" s="72">
        <f t="shared" ref="O88" si="204">K88*4%</f>
        <v>1180</v>
      </c>
      <c r="P88" s="259"/>
      <c r="Q88" s="260">
        <f t="shared" ref="Q88" si="205">SUM(L88:P88)</f>
        <v>29500</v>
      </c>
      <c r="R88" s="188">
        <f>VLOOKUP(B88,'Salary -Dec-2024 (Full)'!$B$6:$AE$383,17,0)</f>
        <v>29500</v>
      </c>
      <c r="S88" s="192">
        <f>VLOOKUP(B88,'Salary -Dec-2024 (Full)'!$B$6:$AE$383,18,0)</f>
        <v>0</v>
      </c>
      <c r="T88" s="192">
        <f>VLOOKUP(B88,'Salary -Dec-2024 (Full)'!$B$6:$AE$383,19,0)</f>
        <v>0</v>
      </c>
      <c r="U88" s="337">
        <f>VLOOKUP(B88,'Salary -Dec-2024 (Full)'!$B$6:$AE$383,20,0)</f>
        <v>0</v>
      </c>
      <c r="V88" s="263">
        <f t="shared" ref="V88" si="206">SUM(R88:U88)</f>
        <v>29500</v>
      </c>
      <c r="W88" s="192">
        <f>VLOOKUP(B88,'Salary -Dec-2024 (Full)'!$B$6:$AE$383,22,0)</f>
        <v>0</v>
      </c>
      <c r="X88" s="192">
        <f>VLOOKUP(B88,'Salary -Dec-2024 (Full)'!$B$6:$AE$383,23,0)</f>
        <v>0</v>
      </c>
      <c r="Y88" s="337">
        <f>VLOOKUP(B88,'Salary -Dec-2024 (Full)'!$B$6:$AE$383,24,0)</f>
        <v>885</v>
      </c>
      <c r="Z88" s="192">
        <f>VLOOKUP(B88,'Salary -Dec-2024 (Full)'!$B$6:$AE$383,25,0)</f>
        <v>0</v>
      </c>
      <c r="AA88" s="192">
        <f>VLOOKUP(B88,'Salary -Dec-2024 (Full)'!$B$6:$AE$383,26,0)</f>
        <v>0</v>
      </c>
      <c r="AB88" s="384">
        <f t="shared" ref="AB88" si="207">SUM(W88:AA88)</f>
        <v>885</v>
      </c>
      <c r="AC88" s="193">
        <f t="shared" ref="AC88" si="208">ROUND(V88-AB88,0)</f>
        <v>28615</v>
      </c>
      <c r="AD88" s="264" t="str">
        <f>VLOOKUP(B88,'Salary -Dec-2024 (Full)'!$B$6:$AE$383,29,0)</f>
        <v>Bank</v>
      </c>
      <c r="AE88" s="264" t="str">
        <f>VLOOKUP(B88,'Salary -Dec-2024 (Full)'!$B$6:$AE$383,30,0)</f>
        <v>127.158.0054868</v>
      </c>
      <c r="AG88" s="61"/>
      <c r="AH88" s="183"/>
      <c r="AI88" s="319"/>
    </row>
    <row r="89" spans="1:35" s="47" customFormat="1" ht="24" customHeight="1">
      <c r="A89" s="253">
        <v>4</v>
      </c>
      <c r="B89" s="254" t="s">
        <v>349</v>
      </c>
      <c r="C89" s="255" t="str">
        <f>VLOOKUP(B89,'Salary -Dec-2024 (Full)'!$B$6:$D$383,2,0)</f>
        <v>Md. Abdus Salam Shek</v>
      </c>
      <c r="D89" s="278" t="str">
        <f>VLOOKUP(B89,'Salary -Dec-2024 (Full)'!$B$6:$D$383,3,0)</f>
        <v>Store Officer</v>
      </c>
      <c r="E89" s="256" t="str">
        <f>VLOOKUP(B89,'Salary -Dec-2024 (Full)'!$B$6:$AE$383,4,0)</f>
        <v>Store &amp; Logistics</v>
      </c>
      <c r="F89" s="475">
        <f>VLOOKUP(B89,'Salary -Dec-2024 (Full)'!$B$6:$AE$383,5,0)</f>
        <v>44866</v>
      </c>
      <c r="G89" s="257">
        <f>VLOOKUP(B89,'Salary -Dec-2024 (Full)'!$B$6:$AE$286,6,0)</f>
        <v>31</v>
      </c>
      <c r="H89" s="258">
        <f>VLOOKUP(B89,'Salary -Dec-2024 (Full)'!$B$6:$AE$383,7,0)</f>
        <v>0</v>
      </c>
      <c r="I89" s="257">
        <f t="shared" si="189"/>
        <v>31</v>
      </c>
      <c r="J89" s="258">
        <f t="shared" si="190"/>
        <v>935.48387096774195</v>
      </c>
      <c r="K89" s="72">
        <f>VLOOKUP(B89,'Salary -Dec-2024 (Full)'!$B$6:$AE$383,10,0)</f>
        <v>29000</v>
      </c>
      <c r="L89" s="72">
        <f t="shared" si="191"/>
        <v>17400</v>
      </c>
      <c r="M89" s="72">
        <f t="shared" si="192"/>
        <v>8700</v>
      </c>
      <c r="N89" s="72">
        <f t="shared" si="193"/>
        <v>1740</v>
      </c>
      <c r="O89" s="72">
        <f t="shared" si="194"/>
        <v>1160</v>
      </c>
      <c r="P89" s="259"/>
      <c r="Q89" s="260">
        <f t="shared" si="197"/>
        <v>29000</v>
      </c>
      <c r="R89" s="188">
        <f>VLOOKUP(B89,'Salary -Dec-2024 (Full)'!$B$6:$AE$383,17,0)</f>
        <v>29000</v>
      </c>
      <c r="S89" s="192">
        <f>VLOOKUP(B89,'Salary -Dec-2024 (Full)'!$B$6:$AE$383,18,0)</f>
        <v>0</v>
      </c>
      <c r="T89" s="192">
        <f>VLOOKUP(B89,'Salary -Dec-2024 (Full)'!$B$6:$AE$383,19,0)</f>
        <v>0</v>
      </c>
      <c r="U89" s="337">
        <f>VLOOKUP(B89,'Salary -Dec-2024 (Full)'!$B$6:$AE$383,20,0)</f>
        <v>0</v>
      </c>
      <c r="V89" s="263">
        <f t="shared" si="198"/>
        <v>29000</v>
      </c>
      <c r="W89" s="192">
        <f>VLOOKUP(B89,'Salary -Dec-2024 (Full)'!$B$6:$AE$383,22,0)</f>
        <v>0</v>
      </c>
      <c r="X89" s="192">
        <f>VLOOKUP(B89,'Salary -Dec-2024 (Full)'!$B$6:$AE$383,23,0)</f>
        <v>0</v>
      </c>
      <c r="Y89" s="337">
        <f>VLOOKUP(B89,'Salary -Dec-2024 (Full)'!$B$6:$AE$383,24,0)</f>
        <v>870</v>
      </c>
      <c r="Z89" s="192">
        <f>VLOOKUP(B89,'Salary -Dec-2024 (Full)'!$B$6:$AE$383,25,0)</f>
        <v>0</v>
      </c>
      <c r="AA89" s="192">
        <f>VLOOKUP(B89,'Salary -Dec-2024 (Full)'!$B$6:$AE$383,26,0)</f>
        <v>0</v>
      </c>
      <c r="AB89" s="384">
        <f t="shared" si="195"/>
        <v>870</v>
      </c>
      <c r="AC89" s="193">
        <f t="shared" si="196"/>
        <v>28130</v>
      </c>
      <c r="AD89" s="264" t="str">
        <f>VLOOKUP(B89,'Salary -Dec-2024 (Full)'!$B$6:$AE$383,29,0)</f>
        <v>Bank</v>
      </c>
      <c r="AE89" s="264" t="str">
        <f>VLOOKUP(B89,'Salary -Dec-2024 (Full)'!$B$6:$AE$383,30,0)</f>
        <v>163.158.0056439</v>
      </c>
      <c r="AG89" s="61"/>
      <c r="AH89" s="183"/>
      <c r="AI89" s="319"/>
    </row>
    <row r="90" spans="1:35" s="47" customFormat="1" ht="24" customHeight="1">
      <c r="A90" s="253">
        <v>5</v>
      </c>
      <c r="B90" s="254" t="s">
        <v>354</v>
      </c>
      <c r="C90" s="255" t="str">
        <f>VLOOKUP(B90,'Salary -Dec-2024 (Full)'!$B$6:$D$383,2,0)</f>
        <v>Faysal Ahammed Munshi</v>
      </c>
      <c r="D90" s="278" t="str">
        <f>VLOOKUP(B90,'Salary -Dec-2024 (Full)'!$B$6:$D$383,3,0)</f>
        <v>Store Officer</v>
      </c>
      <c r="E90" s="256" t="str">
        <f>VLOOKUP(B90,'Salary -Dec-2024 (Full)'!$B$6:$AE$383,4,0)</f>
        <v>Store &amp; logistics</v>
      </c>
      <c r="F90" s="475">
        <f>VLOOKUP(B90,'Salary -Dec-2024 (Full)'!$B$6:$AE$383,5,0)</f>
        <v>44915</v>
      </c>
      <c r="G90" s="257">
        <f>VLOOKUP(B90,'Salary -Dec-2024 (Full)'!$B$6:$AE$286,6,0)</f>
        <v>31</v>
      </c>
      <c r="H90" s="258">
        <f>VLOOKUP(B90,'Salary -Dec-2024 (Full)'!$B$6:$AE$383,7,0)</f>
        <v>0</v>
      </c>
      <c r="I90" s="257">
        <f t="shared" ref="I90:I93" si="209">G90-H90</f>
        <v>31</v>
      </c>
      <c r="J90" s="258">
        <f t="shared" ref="J90:J93" si="210">Q90/G90</f>
        <v>709.67741935483866</v>
      </c>
      <c r="K90" s="72">
        <f>VLOOKUP(B90,'Salary -Dec-2024 (Full)'!$B$6:$AE$383,10,0)</f>
        <v>22000</v>
      </c>
      <c r="L90" s="72">
        <f t="shared" ref="L90:L93" si="211">K90*60%</f>
        <v>13200</v>
      </c>
      <c r="M90" s="72">
        <f t="shared" ref="M90:M93" si="212">K90*30%</f>
        <v>6600</v>
      </c>
      <c r="N90" s="72">
        <f t="shared" ref="N90:N93" si="213">K90*6%</f>
        <v>1320</v>
      </c>
      <c r="O90" s="72">
        <f t="shared" ref="O90:O93" si="214">K90*4%</f>
        <v>880</v>
      </c>
      <c r="P90" s="259"/>
      <c r="Q90" s="260">
        <f t="shared" ref="Q90:Q93" si="215">SUM(L90:P90)</f>
        <v>22000</v>
      </c>
      <c r="R90" s="188">
        <f>VLOOKUP(B90,'Salary -Dec-2024 (Full)'!$B$6:$AE$383,17,0)</f>
        <v>22000</v>
      </c>
      <c r="S90" s="192">
        <f>VLOOKUP(B90,'Salary -Dec-2024 (Full)'!$B$6:$AE$383,18,0)</f>
        <v>0</v>
      </c>
      <c r="T90" s="192">
        <f>VLOOKUP(B90,'Salary -Dec-2024 (Full)'!$B$6:$AE$383,19,0)</f>
        <v>0</v>
      </c>
      <c r="U90" s="337">
        <f>VLOOKUP(B90,'Salary -Dec-2024 (Full)'!$B$6:$AE$383,20,0)</f>
        <v>0</v>
      </c>
      <c r="V90" s="263">
        <f t="shared" ref="V90:V93" si="216">SUM(R90:U90)</f>
        <v>22000</v>
      </c>
      <c r="W90" s="192">
        <f>VLOOKUP(B90,'Salary -Dec-2024 (Full)'!$B$6:$AE$383,22,0)</f>
        <v>0</v>
      </c>
      <c r="X90" s="192">
        <f>VLOOKUP(B90,'Salary -Dec-2024 (Full)'!$B$6:$AE$383,23,0)</f>
        <v>0</v>
      </c>
      <c r="Y90" s="337">
        <f>VLOOKUP(B90,'Salary -Dec-2024 (Full)'!$B$6:$AE$383,24,0)</f>
        <v>660</v>
      </c>
      <c r="Z90" s="192">
        <f>VLOOKUP(B90,'Salary -Dec-2024 (Full)'!$B$6:$AE$383,25,0)</f>
        <v>0</v>
      </c>
      <c r="AA90" s="192">
        <f>VLOOKUP(B90,'Salary -Dec-2024 (Full)'!$B$6:$AE$383,26,0)</f>
        <v>0</v>
      </c>
      <c r="AB90" s="384">
        <f t="shared" si="195"/>
        <v>660</v>
      </c>
      <c r="AC90" s="193">
        <f t="shared" si="196"/>
        <v>21340</v>
      </c>
      <c r="AD90" s="264" t="str">
        <f>VLOOKUP(B90,'Salary -Dec-2024 (Full)'!$B$6:$AE$383,29,0)</f>
        <v>Bank</v>
      </c>
      <c r="AE90" s="264" t="str">
        <f>VLOOKUP(B90,'Salary -Dec-2024 (Full)'!$B$6:$AE$383,30,0)</f>
        <v>141.158.0031117</v>
      </c>
      <c r="AG90" s="61"/>
      <c r="AH90" s="183"/>
      <c r="AI90" s="319"/>
    </row>
    <row r="91" spans="1:35" s="47" customFormat="1" ht="24" customHeight="1">
      <c r="A91" s="253">
        <v>6</v>
      </c>
      <c r="B91" s="254" t="s">
        <v>518</v>
      </c>
      <c r="C91" s="255" t="str">
        <f>VLOOKUP(B91,'Salary -Dec-2024 (Full)'!$B$6:$D$383,2,0)</f>
        <v>Asik Ahmed</v>
      </c>
      <c r="D91" s="278" t="str">
        <f>VLOOKUP(B91,'Salary -Dec-2024 (Full)'!$B$6:$D$383,3,0)</f>
        <v>Store Officer</v>
      </c>
      <c r="E91" s="256" t="str">
        <f>VLOOKUP(B91,'Salary -Dec-2024 (Full)'!$B$6:$AE$383,4,0)</f>
        <v>Store &amp; logistics</v>
      </c>
      <c r="F91" s="475">
        <f>VLOOKUP(B91,'Salary -Dec-2024 (Full)'!$B$6:$AE$383,5,0)</f>
        <v>44941</v>
      </c>
      <c r="G91" s="257">
        <f>VLOOKUP(B91,'Salary -Dec-2024 (Full)'!$B$6:$AE$286,6,0)</f>
        <v>31</v>
      </c>
      <c r="H91" s="258">
        <f>VLOOKUP(B91,'Salary -Dec-2024 (Full)'!$B$6:$AE$383,7,0)</f>
        <v>0</v>
      </c>
      <c r="I91" s="257">
        <f t="shared" ref="I91" si="217">G91-H91</f>
        <v>31</v>
      </c>
      <c r="J91" s="258">
        <f t="shared" ref="J91" si="218">Q91/G91</f>
        <v>709.67741935483866</v>
      </c>
      <c r="K91" s="72">
        <f>VLOOKUP(B91,'Salary -Dec-2024 (Full)'!$B$6:$AE$383,10,0)</f>
        <v>22000</v>
      </c>
      <c r="L91" s="72">
        <f t="shared" ref="L91" si="219">K91*60%</f>
        <v>13200</v>
      </c>
      <c r="M91" s="72">
        <f t="shared" ref="M91" si="220">K91*30%</f>
        <v>6600</v>
      </c>
      <c r="N91" s="72">
        <f t="shared" ref="N91" si="221">K91*6%</f>
        <v>1320</v>
      </c>
      <c r="O91" s="72">
        <f t="shared" ref="O91" si="222">K91*4%</f>
        <v>880</v>
      </c>
      <c r="P91" s="259"/>
      <c r="Q91" s="260">
        <f t="shared" ref="Q91" si="223">SUM(L91:P91)</f>
        <v>22000</v>
      </c>
      <c r="R91" s="188">
        <f>VLOOKUP(B91,'Salary -Dec-2024 (Full)'!$B$6:$AE$383,17,0)</f>
        <v>22000</v>
      </c>
      <c r="S91" s="192">
        <f>VLOOKUP(B91,'Salary -Dec-2024 (Full)'!$B$6:$AE$383,18,0)</f>
        <v>0</v>
      </c>
      <c r="T91" s="192">
        <f>VLOOKUP(B91,'Salary -Dec-2024 (Full)'!$B$6:$AE$383,19,0)</f>
        <v>0</v>
      </c>
      <c r="U91" s="337">
        <f>VLOOKUP(B91,'Salary -Dec-2024 (Full)'!$B$6:$AE$383,20,0)</f>
        <v>0</v>
      </c>
      <c r="V91" s="263">
        <f t="shared" ref="V91" si="224">SUM(R91:U91)</f>
        <v>22000</v>
      </c>
      <c r="W91" s="192">
        <f>VLOOKUP(B91,'Salary -Dec-2024 (Full)'!$B$6:$AE$383,22,0)</f>
        <v>0</v>
      </c>
      <c r="X91" s="192">
        <f>VLOOKUP(B91,'Salary -Dec-2024 (Full)'!$B$6:$AE$383,23,0)</f>
        <v>0</v>
      </c>
      <c r="Y91" s="337">
        <f>VLOOKUP(B91,'Salary -Dec-2024 (Full)'!$B$6:$AE$383,24,0)</f>
        <v>660</v>
      </c>
      <c r="Z91" s="192">
        <f>VLOOKUP(B91,'Salary -Dec-2024 (Full)'!$B$6:$AE$383,25,0)</f>
        <v>0</v>
      </c>
      <c r="AA91" s="192">
        <f>VLOOKUP(B91,'Salary -Dec-2024 (Full)'!$B$6:$AE$383,26,0)</f>
        <v>0</v>
      </c>
      <c r="AB91" s="384">
        <f t="shared" ref="AB91" si="225">SUM(W91:AA91)</f>
        <v>660</v>
      </c>
      <c r="AC91" s="193">
        <f t="shared" ref="AC91" si="226">ROUND(V91-AB91,0)</f>
        <v>21340</v>
      </c>
      <c r="AD91" s="264" t="str">
        <f>VLOOKUP(B91,'Salary -Dec-2024 (Full)'!$B$6:$AE$383,29,0)</f>
        <v>Bank</v>
      </c>
      <c r="AE91" s="264" t="str">
        <f>VLOOKUP(B91,'Salary -Dec-2024 (Full)'!$B$6:$AE$383,30,0)</f>
        <v>194.158.0025183</v>
      </c>
      <c r="AG91" s="61"/>
      <c r="AH91" s="183"/>
      <c r="AI91" s="319"/>
    </row>
    <row r="92" spans="1:35" s="47" customFormat="1" ht="24.75" customHeight="1">
      <c r="A92" s="253">
        <v>7</v>
      </c>
      <c r="B92" s="254" t="s">
        <v>87</v>
      </c>
      <c r="C92" s="255" t="str">
        <f>VLOOKUP(B92,'Salary -Dec-2024 (Full)'!$B$6:$D$383,2,0)</f>
        <v>Md. Akter Hossen</v>
      </c>
      <c r="D92" s="278" t="str">
        <f>VLOOKUP(B92,'Salary -Dec-2024 (Full)'!$B$6:$D$383,3,0)</f>
        <v>Office Assistant</v>
      </c>
      <c r="E92" s="256" t="str">
        <f>VLOOKUP(B92,'Salary -Dec-2024 (Full)'!$B$6:$AE$383,4,0)</f>
        <v>Admin</v>
      </c>
      <c r="F92" s="475">
        <f>VLOOKUP(B92,'Salary -Dec-2024 (Full)'!$B$6:$AE$383,5,0)</f>
        <v>44870</v>
      </c>
      <c r="G92" s="257">
        <f>VLOOKUP(B92,'Salary -Dec-2024 (Full)'!$B$6:$AE$286,6,0)</f>
        <v>31</v>
      </c>
      <c r="H92" s="258">
        <f>VLOOKUP(B92,'Salary -Dec-2024 (Full)'!$B$6:$AE$383,7,0)</f>
        <v>0</v>
      </c>
      <c r="I92" s="257">
        <f t="shared" si="209"/>
        <v>31</v>
      </c>
      <c r="J92" s="258">
        <f t="shared" si="210"/>
        <v>677.41935483870964</v>
      </c>
      <c r="K92" s="72">
        <f>VLOOKUP(B92,'Salary -Dec-2024 (Full)'!$B$6:$AE$383,10,0)</f>
        <v>21000</v>
      </c>
      <c r="L92" s="72">
        <f t="shared" si="211"/>
        <v>12600</v>
      </c>
      <c r="M92" s="72">
        <f t="shared" si="212"/>
        <v>6300</v>
      </c>
      <c r="N92" s="72">
        <f t="shared" si="213"/>
        <v>1260</v>
      </c>
      <c r="O92" s="72">
        <f t="shared" si="214"/>
        <v>840</v>
      </c>
      <c r="P92" s="259"/>
      <c r="Q92" s="260">
        <f t="shared" si="215"/>
        <v>21000</v>
      </c>
      <c r="R92" s="188">
        <f>VLOOKUP(B92,'Salary -Dec-2024 (Full)'!$B$6:$AE$383,17,0)</f>
        <v>21000</v>
      </c>
      <c r="S92" s="192">
        <f>VLOOKUP(B92,'Salary -Dec-2024 (Full)'!$B$6:$AE$383,18,0)</f>
        <v>0</v>
      </c>
      <c r="T92" s="192">
        <f>VLOOKUP(B92,'Salary -Dec-2024 (Full)'!$B$6:$AE$383,19,0)</f>
        <v>2000</v>
      </c>
      <c r="U92" s="337">
        <f>VLOOKUP(B92,'Salary -Dec-2024 (Full)'!$B$6:$AE$383,20,0)</f>
        <v>0</v>
      </c>
      <c r="V92" s="263">
        <f t="shared" si="216"/>
        <v>23000</v>
      </c>
      <c r="W92" s="192">
        <f>VLOOKUP(B92,'Salary -Dec-2024 (Full)'!$B$6:$AE$383,22,0)</f>
        <v>0</v>
      </c>
      <c r="X92" s="192">
        <f>VLOOKUP(B92,'Salary -Dec-2024 (Full)'!$B$6:$AE$383,23,0)</f>
        <v>0</v>
      </c>
      <c r="Y92" s="337">
        <f>VLOOKUP(B92,'Salary -Dec-2024 (Full)'!$B$6:$AE$383,24,0)</f>
        <v>630</v>
      </c>
      <c r="Z92" s="192">
        <f>VLOOKUP(B92,'Salary -Dec-2024 (Full)'!$B$6:$AE$383,25,0)</f>
        <v>0</v>
      </c>
      <c r="AA92" s="192">
        <f>VLOOKUP(B92,'Salary -Dec-2024 (Full)'!$B$6:$AE$383,26,0)</f>
        <v>0</v>
      </c>
      <c r="AB92" s="384">
        <f t="shared" si="195"/>
        <v>630</v>
      </c>
      <c r="AC92" s="193">
        <f t="shared" si="196"/>
        <v>22370</v>
      </c>
      <c r="AD92" s="264" t="str">
        <f>VLOOKUP(B92,'Salary -Dec-2024 (Full)'!$B$6:$AE$383,29,0)</f>
        <v>Bank</v>
      </c>
      <c r="AE92" s="264" t="str">
        <f>VLOOKUP(B92,'Salary -Dec-2024 (Full)'!$B$6:$AE$383,30,0)</f>
        <v>181.158.0055809</v>
      </c>
      <c r="AG92" s="61"/>
      <c r="AH92" s="183"/>
      <c r="AI92" s="319"/>
    </row>
    <row r="93" spans="1:35" s="47" customFormat="1" ht="24" customHeight="1">
      <c r="A93" s="253">
        <v>8</v>
      </c>
      <c r="B93" s="254" t="s">
        <v>643</v>
      </c>
      <c r="C93" s="255" t="str">
        <f>VLOOKUP(B93,'Salary -Dec-2024 (Full)'!$B$6:$D$383,2,0)</f>
        <v>Md Soyeb Mamud</v>
      </c>
      <c r="D93" s="278" t="str">
        <f>VLOOKUP(B93,'Salary -Dec-2024 (Full)'!$B$6:$D$383,3,0)</f>
        <v>Store Officer</v>
      </c>
      <c r="E93" s="256" t="str">
        <f>VLOOKUP(B93,'Salary -Dec-2024 (Full)'!$B$6:$AE$383,4,0)</f>
        <v>Store &amp; Logistics</v>
      </c>
      <c r="F93" s="475">
        <f>VLOOKUP(B93,'Salary -Dec-2024 (Full)'!$B$6:$AE$383,5,0)</f>
        <v>45048</v>
      </c>
      <c r="G93" s="257">
        <f>VLOOKUP(B93,'Salary -Dec-2024 (Full)'!$B$6:$AE$286,6,0)</f>
        <v>31</v>
      </c>
      <c r="H93" s="258">
        <f>VLOOKUP(B93,'Salary -Dec-2024 (Full)'!$B$6:$AE$383,7,0)</f>
        <v>0</v>
      </c>
      <c r="I93" s="257">
        <f t="shared" si="209"/>
        <v>31</v>
      </c>
      <c r="J93" s="258">
        <f t="shared" si="210"/>
        <v>806.45161290322585</v>
      </c>
      <c r="K93" s="72">
        <f>VLOOKUP(B93,'Salary -Dec-2024 (Full)'!$B$6:$AE$383,10,0)</f>
        <v>25000</v>
      </c>
      <c r="L93" s="72">
        <f t="shared" si="211"/>
        <v>15000</v>
      </c>
      <c r="M93" s="72">
        <f t="shared" si="212"/>
        <v>7500</v>
      </c>
      <c r="N93" s="72">
        <f t="shared" si="213"/>
        <v>1500</v>
      </c>
      <c r="O93" s="72">
        <f t="shared" si="214"/>
        <v>1000</v>
      </c>
      <c r="P93" s="259"/>
      <c r="Q93" s="260">
        <f t="shared" si="215"/>
        <v>25000</v>
      </c>
      <c r="R93" s="188">
        <f>VLOOKUP(B93,'Salary -Dec-2024 (Full)'!$B$6:$AE$383,17,0)</f>
        <v>25000</v>
      </c>
      <c r="S93" s="192">
        <f>VLOOKUP(B93,'Salary -Dec-2024 (Full)'!$B$6:$AE$383,18,0)</f>
        <v>0</v>
      </c>
      <c r="T93" s="192">
        <f>VLOOKUP(B93,'Salary -Dec-2024 (Full)'!$B$6:$AE$383,19,0)</f>
        <v>0</v>
      </c>
      <c r="U93" s="337">
        <f>VLOOKUP(B93,'Salary -Dec-2024 (Full)'!$B$6:$AE$383,20,0)</f>
        <v>0</v>
      </c>
      <c r="V93" s="263">
        <f t="shared" si="216"/>
        <v>25000</v>
      </c>
      <c r="W93" s="192">
        <f>VLOOKUP(B93,'Salary -Dec-2024 (Full)'!$B$6:$AE$383,22,0)</f>
        <v>0</v>
      </c>
      <c r="X93" s="192">
        <f>VLOOKUP(B93,'Salary -Dec-2024 (Full)'!$B$6:$AE$383,23,0)</f>
        <v>0</v>
      </c>
      <c r="Y93" s="337">
        <f>VLOOKUP(B93,'Salary -Dec-2024 (Full)'!$B$6:$AE$383,24,0)</f>
        <v>750</v>
      </c>
      <c r="Z93" s="192">
        <f>VLOOKUP(B93,'Salary -Dec-2024 (Full)'!$B$6:$AE$383,25,0)</f>
        <v>0</v>
      </c>
      <c r="AA93" s="192">
        <f>VLOOKUP(B93,'Salary -Dec-2024 (Full)'!$B$6:$AE$383,26,0)</f>
        <v>0</v>
      </c>
      <c r="AB93" s="384">
        <f t="shared" ref="AB93:AB96" si="227">SUM(W93:AA93)</f>
        <v>750</v>
      </c>
      <c r="AC93" s="193">
        <f t="shared" ref="AC93:AC96" si="228">ROUND(V93-AB93,0)</f>
        <v>24250</v>
      </c>
      <c r="AD93" s="264" t="str">
        <f>VLOOKUP(B93,'Salary -Dec-2024 (Full)'!$B$6:$AE$383,29,0)</f>
        <v>Bank</v>
      </c>
      <c r="AE93" s="264" t="str">
        <f>VLOOKUP(B93,'Salary -Dec-2024 (Full)'!$B$6:$AE$383,30,0)</f>
        <v>162.158.0095660</v>
      </c>
      <c r="AG93" s="61"/>
      <c r="AH93" s="183"/>
      <c r="AI93" s="319"/>
    </row>
    <row r="94" spans="1:35" s="47" customFormat="1" ht="24" customHeight="1">
      <c r="A94" s="253">
        <v>9</v>
      </c>
      <c r="B94" s="254" t="s">
        <v>957</v>
      </c>
      <c r="C94" s="255" t="str">
        <f>VLOOKUP(B94,'Salary -Dec-2024 (Full)'!$B$6:$D$383,2,0)</f>
        <v>Md Rashedul Islam</v>
      </c>
      <c r="D94" s="278" t="str">
        <f>VLOOKUP(B94,'Salary -Dec-2024 (Full)'!$B$6:$D$383,3,0)</f>
        <v>Office Executive</v>
      </c>
      <c r="E94" s="256" t="str">
        <f>VLOOKUP(B94,'Salary -Dec-2024 (Full)'!$B$6:$AE$383,4,0)</f>
        <v>Store &amp; Logistics</v>
      </c>
      <c r="F94" s="475">
        <f>VLOOKUP(B94,'Salary -Dec-2024 (Full)'!$B$6:$AE$383,5,0)</f>
        <v>45206</v>
      </c>
      <c r="G94" s="257">
        <f>VLOOKUP(B94,'Salary -Dec-2024 (Full)'!$B$6:$AE$286,6,0)</f>
        <v>31</v>
      </c>
      <c r="H94" s="258">
        <f>VLOOKUP(B94,'Salary -Dec-2024 (Full)'!$B$6:$AE$383,7,0)</f>
        <v>0</v>
      </c>
      <c r="I94" s="257">
        <f t="shared" ref="I94" si="229">G94-H94</f>
        <v>31</v>
      </c>
      <c r="J94" s="258">
        <f t="shared" ref="J94" si="230">Q94/G94</f>
        <v>806.45161290322585</v>
      </c>
      <c r="K94" s="72">
        <f>VLOOKUP(B94,'Salary -Dec-2024 (Full)'!$B$6:$AE$383,10,0)</f>
        <v>25000</v>
      </c>
      <c r="L94" s="72">
        <f t="shared" ref="L94" si="231">K94*60%</f>
        <v>15000</v>
      </c>
      <c r="M94" s="72">
        <f t="shared" ref="M94" si="232">K94*30%</f>
        <v>7500</v>
      </c>
      <c r="N94" s="72">
        <f t="shared" ref="N94" si="233">K94*6%</f>
        <v>1500</v>
      </c>
      <c r="O94" s="72">
        <f t="shared" ref="O94" si="234">K94*4%</f>
        <v>1000</v>
      </c>
      <c r="P94" s="259"/>
      <c r="Q94" s="260">
        <f t="shared" ref="Q94" si="235">SUM(L94:P94)</f>
        <v>25000</v>
      </c>
      <c r="R94" s="188">
        <f>VLOOKUP(B94,'Salary -Dec-2024 (Full)'!$B$6:$AE$383,17,0)</f>
        <v>25000</v>
      </c>
      <c r="S94" s="192">
        <f>VLOOKUP(B94,'Salary -Dec-2024 (Full)'!$B$6:$AE$383,18,0)</f>
        <v>0</v>
      </c>
      <c r="T94" s="192">
        <f>VLOOKUP(B94,'Salary -Dec-2024 (Full)'!$B$6:$AE$383,19,0)</f>
        <v>0</v>
      </c>
      <c r="U94" s="337">
        <f>VLOOKUP(B94,'Salary -Dec-2024 (Full)'!$B$6:$AE$383,20,0)</f>
        <v>0</v>
      </c>
      <c r="V94" s="263">
        <f t="shared" ref="V94" si="236">SUM(R94:U94)</f>
        <v>25000</v>
      </c>
      <c r="W94" s="192">
        <f>VLOOKUP(B94,'Salary -Dec-2024 (Full)'!$B$6:$AE$383,22,0)</f>
        <v>0</v>
      </c>
      <c r="X94" s="192">
        <f>VLOOKUP(B94,'Salary -Dec-2024 (Full)'!$B$6:$AE$383,23,0)</f>
        <v>0</v>
      </c>
      <c r="Y94" s="337">
        <f>VLOOKUP(B94,'Salary -Dec-2024 (Full)'!$B$6:$AE$383,24,0)</f>
        <v>750</v>
      </c>
      <c r="Z94" s="192">
        <f>VLOOKUP(B94,'Salary -Dec-2024 (Full)'!$B$6:$AE$383,25,0)</f>
        <v>0</v>
      </c>
      <c r="AA94" s="192">
        <f>VLOOKUP(B94,'Salary -Dec-2024 (Full)'!$B$6:$AE$383,26,0)</f>
        <v>0</v>
      </c>
      <c r="AB94" s="384">
        <f t="shared" si="227"/>
        <v>750</v>
      </c>
      <c r="AC94" s="193">
        <f t="shared" si="228"/>
        <v>24250</v>
      </c>
      <c r="AD94" s="264" t="str">
        <f>VLOOKUP(B94,'Salary -Dec-2024 (Full)'!$B$6:$AE$383,29,0)</f>
        <v>Bank</v>
      </c>
      <c r="AE94" s="264" t="str">
        <f>VLOOKUP(B94,'Salary -Dec-2024 (Full)'!$B$6:$AE$383,30,0)</f>
        <v>125.157.0069452</v>
      </c>
      <c r="AG94" s="61"/>
      <c r="AH94" s="183"/>
      <c r="AI94" s="319"/>
    </row>
    <row r="95" spans="1:35" s="47" customFormat="1" ht="24" customHeight="1">
      <c r="A95" s="253">
        <v>10</v>
      </c>
      <c r="B95" s="254" t="s">
        <v>1227</v>
      </c>
      <c r="C95" s="255" t="str">
        <f>VLOOKUP(B95,'Salary -Dec-2024 (Full)'!$B$6:$D$383,2,0)</f>
        <v>Md Enamul Hoque</v>
      </c>
      <c r="D95" s="278" t="str">
        <f>VLOOKUP(B95,'Salary -Dec-2024 (Full)'!$B$6:$D$383,3,0)</f>
        <v>Store Assistant</v>
      </c>
      <c r="E95" s="256" t="str">
        <f>VLOOKUP(B95,'Salary -Dec-2024 (Full)'!$B$6:$AE$383,4,0)</f>
        <v>Store &amp; Logistics</v>
      </c>
      <c r="F95" s="475">
        <f>VLOOKUP(B95,'Salary -Dec-2024 (Full)'!$B$6:$AE$383,5,0)</f>
        <v>45369</v>
      </c>
      <c r="G95" s="257">
        <f>VLOOKUP(B95,'Salary -Dec-2024 (Full)'!$B$6:$AE$286,6,0)</f>
        <v>31</v>
      </c>
      <c r="H95" s="258">
        <f>VLOOKUP(B95,'Salary -Dec-2024 (Full)'!$B$6:$AE$383,7,0)</f>
        <v>0</v>
      </c>
      <c r="I95" s="257">
        <f t="shared" ref="I95" si="237">G95-H95</f>
        <v>31</v>
      </c>
      <c r="J95" s="258">
        <f t="shared" ref="J95" si="238">Q95/G95</f>
        <v>580.64516129032256</v>
      </c>
      <c r="K95" s="72">
        <f>VLOOKUP(B95,'Salary -Dec-2024 (Full)'!$B$6:$AE$383,10,0)</f>
        <v>18000</v>
      </c>
      <c r="L95" s="72">
        <f t="shared" ref="L95" si="239">K95*60%</f>
        <v>10800</v>
      </c>
      <c r="M95" s="72">
        <f t="shared" ref="M95" si="240">K95*30%</f>
        <v>5400</v>
      </c>
      <c r="N95" s="72">
        <f t="shared" ref="N95" si="241">K95*6%</f>
        <v>1080</v>
      </c>
      <c r="O95" s="72">
        <f t="shared" ref="O95" si="242">K95*4%</f>
        <v>720</v>
      </c>
      <c r="P95" s="259"/>
      <c r="Q95" s="260">
        <f t="shared" ref="Q95" si="243">SUM(L95:P95)</f>
        <v>18000</v>
      </c>
      <c r="R95" s="188">
        <f>VLOOKUP(B95,'Salary -Dec-2024 (Full)'!$B$6:$AE$383,17,0)</f>
        <v>18000</v>
      </c>
      <c r="S95" s="192">
        <f>VLOOKUP(B95,'Salary -Dec-2024 (Full)'!$B$6:$AE$383,18,0)</f>
        <v>0</v>
      </c>
      <c r="T95" s="192">
        <f>VLOOKUP(B95,'Salary -Dec-2024 (Full)'!$B$6:$AE$383,19,0)</f>
        <v>0</v>
      </c>
      <c r="U95" s="337">
        <f>VLOOKUP(B95,'Salary -Dec-2024 (Full)'!$B$6:$AE$383,20,0)</f>
        <v>0</v>
      </c>
      <c r="V95" s="263">
        <f t="shared" ref="V95" si="244">SUM(R95:U95)</f>
        <v>18000</v>
      </c>
      <c r="W95" s="192">
        <f>VLOOKUP(B95,'Salary -Dec-2024 (Full)'!$B$6:$AE$383,22,0)</f>
        <v>0</v>
      </c>
      <c r="X95" s="192">
        <f>VLOOKUP(B95,'Salary -Dec-2024 (Full)'!$B$6:$AE$383,23,0)</f>
        <v>0</v>
      </c>
      <c r="Y95" s="337">
        <f>VLOOKUP(B95,'Salary -Dec-2024 (Full)'!$B$6:$AE$383,24,0)</f>
        <v>0</v>
      </c>
      <c r="Z95" s="192">
        <f>VLOOKUP(B95,'Salary -Dec-2024 (Full)'!$B$6:$AE$383,25,0)</f>
        <v>0</v>
      </c>
      <c r="AA95" s="192">
        <f>VLOOKUP(B95,'Salary -Dec-2024 (Full)'!$B$6:$AE$383,26,0)</f>
        <v>0</v>
      </c>
      <c r="AB95" s="384">
        <f t="shared" si="227"/>
        <v>0</v>
      </c>
      <c r="AC95" s="193">
        <f t="shared" si="228"/>
        <v>18000</v>
      </c>
      <c r="AD95" s="264" t="str">
        <f>VLOOKUP(B95,'Salary -Dec-2024 (Full)'!$B$6:$AE$383,29,0)</f>
        <v>Bank</v>
      </c>
      <c r="AE95" s="264" t="str">
        <f>VLOOKUP(B95,'Salary -Dec-2024 (Full)'!$B$6:$AE$383,30,0)</f>
        <v>163.158.0112499</v>
      </c>
      <c r="AG95" s="61"/>
      <c r="AH95" s="183"/>
      <c r="AI95" s="319"/>
    </row>
    <row r="96" spans="1:35" s="47" customFormat="1" ht="24" customHeight="1">
      <c r="A96" s="253">
        <v>11</v>
      </c>
      <c r="B96" s="254" t="s">
        <v>1371</v>
      </c>
      <c r="C96" s="255" t="str">
        <f>VLOOKUP(B96,'Salary -Dec-2024 (Full)'!$B$6:$D$383,2,0)</f>
        <v>Md Muniruzzaman</v>
      </c>
      <c r="D96" s="278" t="str">
        <f>VLOOKUP(B96,'Salary -Dec-2024 (Full)'!$B$6:$D$383,3,0)</f>
        <v>Store Officer</v>
      </c>
      <c r="E96" s="256" t="str">
        <f>VLOOKUP(B96,'Salary -Dec-2024 (Full)'!$B$6:$AE$383,4,0)</f>
        <v>Store &amp; Logistics</v>
      </c>
      <c r="F96" s="475">
        <f>VLOOKUP(B96,'Salary -Dec-2024 (Full)'!$B$6:$AE$383,5,0)</f>
        <v>45466</v>
      </c>
      <c r="G96" s="257">
        <f>VLOOKUP(B96,'Salary -Dec-2024 (Full)'!$B$6:$AE$286,6,0)</f>
        <v>31</v>
      </c>
      <c r="H96" s="258">
        <f>VLOOKUP(B96,'Salary -Dec-2024 (Full)'!$B$6:$AE$383,7,0)</f>
        <v>0</v>
      </c>
      <c r="I96" s="257">
        <f t="shared" ref="I96" si="245">G96-H96</f>
        <v>31</v>
      </c>
      <c r="J96" s="258">
        <f t="shared" ref="J96" si="246">Q96/G96</f>
        <v>709.67741935483866</v>
      </c>
      <c r="K96" s="72">
        <f>VLOOKUP(B96,'Salary -Dec-2024 (Full)'!$B$6:$AE$383,10,0)</f>
        <v>22000</v>
      </c>
      <c r="L96" s="72">
        <f t="shared" ref="L96" si="247">K96*60%</f>
        <v>13200</v>
      </c>
      <c r="M96" s="72">
        <f t="shared" ref="M96" si="248">K96*30%</f>
        <v>6600</v>
      </c>
      <c r="N96" s="72">
        <f t="shared" ref="N96" si="249">K96*6%</f>
        <v>1320</v>
      </c>
      <c r="O96" s="72">
        <f t="shared" ref="O96" si="250">K96*4%</f>
        <v>880</v>
      </c>
      <c r="P96" s="259"/>
      <c r="Q96" s="260">
        <f t="shared" ref="Q96" si="251">SUM(L96:P96)</f>
        <v>22000</v>
      </c>
      <c r="R96" s="188">
        <f>VLOOKUP(B96,'Salary -Dec-2024 (Full)'!$B$6:$AE$383,17,0)</f>
        <v>22000</v>
      </c>
      <c r="S96" s="192">
        <f>VLOOKUP(B96,'Salary -Dec-2024 (Full)'!$B$6:$AE$383,18,0)</f>
        <v>0</v>
      </c>
      <c r="T96" s="192">
        <f>VLOOKUP(B96,'Salary -Dec-2024 (Full)'!$B$6:$AE$383,19,0)</f>
        <v>0</v>
      </c>
      <c r="U96" s="337">
        <f>VLOOKUP(B96,'Salary -Dec-2024 (Full)'!$B$6:$AE$383,20,0)</f>
        <v>0</v>
      </c>
      <c r="V96" s="263">
        <f t="shared" ref="V96" si="252">SUM(R96:U96)</f>
        <v>22000</v>
      </c>
      <c r="W96" s="192">
        <f>VLOOKUP(B96,'Salary -Dec-2024 (Full)'!$B$6:$AE$383,22,0)</f>
        <v>0</v>
      </c>
      <c r="X96" s="192">
        <f>VLOOKUP(B96,'Salary -Dec-2024 (Full)'!$B$6:$AE$383,23,0)</f>
        <v>0</v>
      </c>
      <c r="Y96" s="337">
        <f>VLOOKUP(B96,'Salary -Dec-2024 (Full)'!$B$6:$AE$383,24,0)</f>
        <v>0</v>
      </c>
      <c r="Z96" s="192">
        <f>VLOOKUP(B96,'Salary -Dec-2024 (Full)'!$B$6:$AE$383,25,0)</f>
        <v>0</v>
      </c>
      <c r="AA96" s="192">
        <f>VLOOKUP(B96,'Salary -Dec-2024 (Full)'!$B$6:$AE$383,26,0)</f>
        <v>0</v>
      </c>
      <c r="AB96" s="384">
        <f t="shared" si="227"/>
        <v>0</v>
      </c>
      <c r="AC96" s="193">
        <f t="shared" si="228"/>
        <v>22000</v>
      </c>
      <c r="AD96" s="264" t="str">
        <f>VLOOKUP(B96,'Salary -Dec-2024 (Full)'!$B$6:$AE$383,29,0)</f>
        <v>Bank</v>
      </c>
      <c r="AE96" s="264" t="str">
        <f>VLOOKUP(B96,'Salary -Dec-2024 (Full)'!$B$6:$AE$383,30,0)</f>
        <v>103.103.1238408</v>
      </c>
      <c r="AG96" s="61"/>
      <c r="AH96" s="183"/>
      <c r="AI96" s="319"/>
    </row>
    <row r="97" spans="1:35" s="47" customFormat="1" ht="24" customHeight="1">
      <c r="A97" s="253">
        <v>12</v>
      </c>
      <c r="B97" s="254" t="s">
        <v>1853</v>
      </c>
      <c r="C97" s="255" t="str">
        <f>VLOOKUP(B97,'Salary -Dec-2024 (Full)'!$B$6:$D$383,2,0)</f>
        <v>AR Selim</v>
      </c>
      <c r="D97" s="278" t="str">
        <f>VLOOKUP(B97,'Salary -Dec-2024 (Full)'!$B$6:$D$383,3,0)</f>
        <v>Store Officer</v>
      </c>
      <c r="E97" s="256" t="str">
        <f>VLOOKUP(B97,'Salary -Dec-2024 (Full)'!$B$6:$AE$383,4,0)</f>
        <v>Store &amp; Logistics</v>
      </c>
      <c r="F97" s="475">
        <f>VLOOKUP(B97,'Salary -Dec-2024 (Full)'!$B$6:$AE$383,5,0)</f>
        <v>45627</v>
      </c>
      <c r="G97" s="257">
        <f>VLOOKUP(B97,'Salary -Dec-2024 (Full)'!$B$6:$AE$286,6,0)</f>
        <v>31</v>
      </c>
      <c r="H97" s="258">
        <f>VLOOKUP(B97,'Salary -Dec-2024 (Full)'!$B$6:$AE$383,7,0)</f>
        <v>0</v>
      </c>
      <c r="I97" s="257">
        <f t="shared" ref="I97" si="253">G97-H97</f>
        <v>31</v>
      </c>
      <c r="J97" s="258">
        <f t="shared" ref="J97" si="254">Q97/G97</f>
        <v>677.41935483870964</v>
      </c>
      <c r="K97" s="72">
        <f>VLOOKUP(B97,'Salary -Dec-2024 (Full)'!$B$6:$AE$383,10,0)</f>
        <v>21000</v>
      </c>
      <c r="L97" s="72">
        <f t="shared" ref="L97" si="255">K97*60%</f>
        <v>12600</v>
      </c>
      <c r="M97" s="72">
        <f t="shared" ref="M97" si="256">K97*30%</f>
        <v>6300</v>
      </c>
      <c r="N97" s="72">
        <f t="shared" ref="N97" si="257">K97*6%</f>
        <v>1260</v>
      </c>
      <c r="O97" s="72">
        <f t="shared" ref="O97" si="258">K97*4%</f>
        <v>840</v>
      </c>
      <c r="P97" s="259"/>
      <c r="Q97" s="260">
        <f t="shared" ref="Q97" si="259">SUM(L97:P97)</f>
        <v>21000</v>
      </c>
      <c r="R97" s="188">
        <f>VLOOKUP(B97,'Salary -Dec-2024 (Full)'!$B$6:$AE$383,17,0)</f>
        <v>21000</v>
      </c>
      <c r="S97" s="192">
        <f>VLOOKUP(B97,'Salary -Dec-2024 (Full)'!$B$6:$AE$383,18,0)</f>
        <v>0</v>
      </c>
      <c r="T97" s="192">
        <f>VLOOKUP(B97,'Salary -Dec-2024 (Full)'!$B$6:$AE$383,19,0)</f>
        <v>0</v>
      </c>
      <c r="U97" s="337">
        <f>VLOOKUP(B97,'Salary -Dec-2024 (Full)'!$B$6:$AE$383,20,0)</f>
        <v>0</v>
      </c>
      <c r="V97" s="263">
        <f t="shared" ref="V97" si="260">SUM(R97:U97)</f>
        <v>21000</v>
      </c>
      <c r="W97" s="192">
        <f>VLOOKUP(B97,'Salary -Dec-2024 (Full)'!$B$6:$AE$383,22,0)</f>
        <v>0</v>
      </c>
      <c r="X97" s="192">
        <f>VLOOKUP(B97,'Salary -Dec-2024 (Full)'!$B$6:$AE$383,23,0)</f>
        <v>0</v>
      </c>
      <c r="Y97" s="337">
        <f>VLOOKUP(B97,'Salary -Dec-2024 (Full)'!$B$6:$AE$383,24,0)</f>
        <v>0</v>
      </c>
      <c r="Z97" s="192">
        <f>VLOOKUP(B97,'Salary -Dec-2024 (Full)'!$B$6:$AE$383,25,0)</f>
        <v>0</v>
      </c>
      <c r="AA97" s="192">
        <f>VLOOKUP(B97,'Salary -Dec-2024 (Full)'!$B$6:$AE$383,26,0)</f>
        <v>0</v>
      </c>
      <c r="AB97" s="384">
        <f t="shared" ref="AB97" si="261">SUM(W97:AA97)</f>
        <v>0</v>
      </c>
      <c r="AC97" s="193">
        <f t="shared" ref="AC97" si="262">ROUND(V97-AB97,0)</f>
        <v>21000</v>
      </c>
      <c r="AD97" s="264" t="str">
        <f>VLOOKUP(B97,'Salary -Dec-2024 (Full)'!$B$6:$AE$383,29,0)</f>
        <v>Cash</v>
      </c>
      <c r="AE97" s="264">
        <f>VLOOKUP(B97,'Salary -Dec-2024 (Full)'!$B$6:$AE$383,30,0)</f>
        <v>0</v>
      </c>
      <c r="AG97" s="61"/>
      <c r="AH97" s="183"/>
      <c r="AI97" s="319"/>
    </row>
    <row r="98" spans="1:35" s="61" customFormat="1" ht="24" customHeight="1">
      <c r="A98" s="1031" t="s">
        <v>67</v>
      </c>
      <c r="B98" s="1032"/>
      <c r="C98" s="1033"/>
      <c r="D98" s="1034"/>
      <c r="E98" s="1040"/>
      <c r="F98" s="1091"/>
      <c r="G98" s="1040"/>
      <c r="H98" s="1040"/>
      <c r="I98" s="1040"/>
      <c r="J98" s="1040"/>
      <c r="K98" s="1037">
        <f>SUM(K86:K97)</f>
        <v>282500</v>
      </c>
      <c r="L98" s="1037">
        <f t="shared" ref="L98:AC98" si="263">SUM(L86:L97)</f>
        <v>169500</v>
      </c>
      <c r="M98" s="1037">
        <f t="shared" si="263"/>
        <v>84750</v>
      </c>
      <c r="N98" s="1037">
        <f t="shared" si="263"/>
        <v>16950</v>
      </c>
      <c r="O98" s="1037">
        <f t="shared" si="263"/>
        <v>11300</v>
      </c>
      <c r="P98" s="1037">
        <f t="shared" si="263"/>
        <v>0</v>
      </c>
      <c r="Q98" s="1037">
        <f t="shared" si="263"/>
        <v>282500</v>
      </c>
      <c r="R98" s="1037">
        <f t="shared" si="263"/>
        <v>282500</v>
      </c>
      <c r="S98" s="1037">
        <f t="shared" si="263"/>
        <v>0</v>
      </c>
      <c r="T98" s="1037">
        <f t="shared" si="263"/>
        <v>2000</v>
      </c>
      <c r="U98" s="1037">
        <f t="shared" si="263"/>
        <v>0</v>
      </c>
      <c r="V98" s="1037">
        <f t="shared" si="263"/>
        <v>284500</v>
      </c>
      <c r="W98" s="1037">
        <f t="shared" si="263"/>
        <v>0</v>
      </c>
      <c r="X98" s="1037">
        <f t="shared" si="263"/>
        <v>0</v>
      </c>
      <c r="Y98" s="1037">
        <f t="shared" si="263"/>
        <v>6645</v>
      </c>
      <c r="Z98" s="1037">
        <f t="shared" si="263"/>
        <v>0</v>
      </c>
      <c r="AA98" s="1037">
        <f t="shared" si="263"/>
        <v>5000</v>
      </c>
      <c r="AB98" s="1037">
        <f t="shared" si="263"/>
        <v>11645</v>
      </c>
      <c r="AC98" s="1037">
        <f t="shared" si="263"/>
        <v>272855</v>
      </c>
      <c r="AD98" s="1038"/>
      <c r="AE98" s="1038"/>
      <c r="AH98" s="183"/>
      <c r="AI98" s="320"/>
    </row>
    <row r="99" spans="1:35" s="47" customFormat="1" ht="24" customHeight="1">
      <c r="A99" s="116" t="s">
        <v>534</v>
      </c>
      <c r="B99" s="268"/>
      <c r="C99" s="268"/>
      <c r="D99" s="348"/>
      <c r="E99" s="268"/>
      <c r="F99" s="474"/>
      <c r="G99" s="268"/>
      <c r="H99" s="267"/>
      <c r="I99" s="268"/>
      <c r="J99" s="268"/>
      <c r="K99" s="268"/>
      <c r="L99" s="268"/>
      <c r="M99" s="268"/>
      <c r="N99" s="268"/>
      <c r="O99" s="268"/>
      <c r="P99" s="268"/>
      <c r="Q99" s="268"/>
      <c r="R99" s="268"/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557"/>
      <c r="AG99" s="61"/>
      <c r="AH99" s="183"/>
      <c r="AI99" s="320"/>
    </row>
    <row r="100" spans="1:35" s="47" customFormat="1" ht="24" customHeight="1">
      <c r="A100" s="339">
        <v>1</v>
      </c>
      <c r="B100" s="340" t="s">
        <v>1081</v>
      </c>
      <c r="C100" s="341" t="str">
        <f>VLOOKUP(B100,'Salary -Dec-2024 (Full)'!$B$6:$D$383,2,0)</f>
        <v>Md Sohel Rana</v>
      </c>
      <c r="D100" s="342" t="str">
        <f>VLOOKUP(B100,'Salary -Dec-2024 (Full)'!$B$6:$D$383,3,0)</f>
        <v>Territory Manager</v>
      </c>
      <c r="E100" s="343" t="str">
        <f>VLOOKUP(B100,'Salary -Dec-2024 (Full)'!$B$6:$AE$383,4,0)</f>
        <v>CRRM</v>
      </c>
      <c r="F100" s="477">
        <f>VLOOKUP(B100,'Salary -Dec-2024 (Full)'!$B$6:$AE$383,5,0)</f>
        <v>45241</v>
      </c>
      <c r="G100" s="257">
        <f>VLOOKUP(B100,'Salary -Dec-2024 (Full)'!$B$6:$AE$286,6,0)</f>
        <v>31</v>
      </c>
      <c r="H100" s="258">
        <f>VLOOKUP(B100,'Salary -Dec-2024 (Full)'!$B$6:$AE$383,7,0)</f>
        <v>0</v>
      </c>
      <c r="I100" s="257">
        <f t="shared" ref="I100" si="264">G100-H100</f>
        <v>31</v>
      </c>
      <c r="J100" s="258">
        <f t="shared" ref="J100" si="265">Q100/G100</f>
        <v>1225.8064516129032</v>
      </c>
      <c r="K100" s="192">
        <f>VLOOKUP(B100,'Salary -Dec-2024 (Full)'!$B$6:$AE$383,10,0)</f>
        <v>38000</v>
      </c>
      <c r="L100" s="192">
        <f t="shared" ref="L100" si="266">K100*60%</f>
        <v>22800</v>
      </c>
      <c r="M100" s="192">
        <f t="shared" ref="M100" si="267">K100*30%</f>
        <v>11400</v>
      </c>
      <c r="N100" s="192">
        <f t="shared" ref="N100" si="268">K100*6%</f>
        <v>2280</v>
      </c>
      <c r="O100" s="192">
        <f t="shared" ref="O100" si="269">K100*4%</f>
        <v>1520</v>
      </c>
      <c r="P100" s="344">
        <v>0</v>
      </c>
      <c r="Q100" s="345">
        <f>SUM(L100:P100)</f>
        <v>38000</v>
      </c>
      <c r="R100" s="188">
        <f>VLOOKUP(B100,'Salary -Dec-2024 (Full)'!$B$6:$AE$383,17,0)</f>
        <v>38000</v>
      </c>
      <c r="S100" s="192">
        <f>VLOOKUP(B100,'Salary -Dec-2024 (Full)'!$B$6:$AE$383,18,0)</f>
        <v>0</v>
      </c>
      <c r="T100" s="192">
        <f>VLOOKUP(B100,'Salary -Dec-2024 (Full)'!$B$6:$AE$383,19,0)</f>
        <v>0</v>
      </c>
      <c r="U100" s="337">
        <f>VLOOKUP(B100,'Salary -Dec-2024 (Full)'!$B$6:$AE$383,20,0)</f>
        <v>0</v>
      </c>
      <c r="V100" s="338">
        <f>SUM(R100:U100)</f>
        <v>38000</v>
      </c>
      <c r="W100" s="192">
        <f>VLOOKUP(B100,'Salary -Dec-2024 (Full)'!$B$6:$AE$383,22,0)</f>
        <v>0</v>
      </c>
      <c r="X100" s="192">
        <f>VLOOKUP(B100,'Salary -Dec-2024 (Full)'!$B$6:$AE$383,23,0)</f>
        <v>0</v>
      </c>
      <c r="Y100" s="337">
        <f>VLOOKUP(B100,'Salary -Dec-2024 (Full)'!$B$6:$AE$383,24,0)</f>
        <v>1140</v>
      </c>
      <c r="Z100" s="192">
        <f>VLOOKUP(B100,'Salary -Dec-2024 (Full)'!$B$6:$AE$383,25,0)</f>
        <v>2175</v>
      </c>
      <c r="AA100" s="192">
        <f>VLOOKUP(B100,'Salary -Dec-2024 (Full)'!$B$6:$AE$383,26,0)</f>
        <v>0</v>
      </c>
      <c r="AB100" s="384">
        <f t="shared" ref="AB100:AB103" si="270">SUM(W100:AA100)</f>
        <v>3315</v>
      </c>
      <c r="AC100" s="193">
        <f t="shared" ref="AC100:AC103" si="271">ROUND(V100-AB100,0)</f>
        <v>34685</v>
      </c>
      <c r="AD100" s="264" t="str">
        <f>VLOOKUP(B100,'Salary -Dec-2024 (Full)'!$B$6:$AE$383,29,0)</f>
        <v>Bank</v>
      </c>
      <c r="AE100" s="264" t="str">
        <f>VLOOKUP(B100,'Salary -Dec-2024 (Full)'!$B$6:$AE$383,30,0)</f>
        <v>162.151.0295629</v>
      </c>
      <c r="AG100" s="61"/>
      <c r="AH100" s="183"/>
      <c r="AI100" s="319"/>
    </row>
    <row r="101" spans="1:35" s="47" customFormat="1" ht="24" customHeight="1">
      <c r="A101" s="339">
        <v>2</v>
      </c>
      <c r="B101" s="340" t="s">
        <v>293</v>
      </c>
      <c r="C101" s="341" t="str">
        <f>VLOOKUP(B101,'Salary -Dec-2024 (Full)'!$B$6:$D$383,2,0)</f>
        <v>Md. Jahangir Kabir</v>
      </c>
      <c r="D101" s="342" t="str">
        <f>VLOOKUP(B101,'Salary -Dec-2024 (Full)'!$B$6:$D$383,3,0)</f>
        <v>Assistant General Manager</v>
      </c>
      <c r="E101" s="343" t="str">
        <f>VLOOKUP(B101,'Salary -Dec-2024 (Full)'!$B$6:$AE$383,4,0)</f>
        <v>CRRM</v>
      </c>
      <c r="F101" s="477">
        <f>VLOOKUP(B101,'Salary -Dec-2024 (Full)'!$B$6:$AE$383,5,0)</f>
        <v>44652</v>
      </c>
      <c r="G101" s="257">
        <f>VLOOKUP(B101,'Salary -Dec-2024 (Full)'!$B$6:$AE$286,6,0)</f>
        <v>31</v>
      </c>
      <c r="H101" s="258">
        <f>VLOOKUP(B101,'Salary -Dec-2024 (Full)'!$B$6:$AE$383,7,0)</f>
        <v>0</v>
      </c>
      <c r="I101" s="257">
        <f t="shared" ref="I101" si="272">G101-H101</f>
        <v>31</v>
      </c>
      <c r="J101" s="258">
        <f t="shared" ref="J101" si="273">Q101/G101</f>
        <v>2903.2258064516127</v>
      </c>
      <c r="K101" s="192">
        <f>VLOOKUP(B101,'Salary -Dec-2024 (Full)'!$B$6:$AE$383,10,0)</f>
        <v>90000</v>
      </c>
      <c r="L101" s="192">
        <f t="shared" ref="L101" si="274">K101*60%</f>
        <v>54000</v>
      </c>
      <c r="M101" s="192">
        <f t="shared" ref="M101" si="275">K101*30%</f>
        <v>27000</v>
      </c>
      <c r="N101" s="192">
        <f t="shared" ref="N101" si="276">K101*6%</f>
        <v>5400</v>
      </c>
      <c r="O101" s="192">
        <f t="shared" ref="O101" si="277">K101*4%</f>
        <v>3600</v>
      </c>
      <c r="P101" s="344"/>
      <c r="Q101" s="345">
        <f>SUM(L101:P101)</f>
        <v>90000</v>
      </c>
      <c r="R101" s="188">
        <f>VLOOKUP(B101,'Salary -Dec-2024 (Full)'!$B$6:$AE$383,17,0)</f>
        <v>90000</v>
      </c>
      <c r="S101" s="192">
        <f>VLOOKUP(B101,'Salary -Dec-2024 (Full)'!$B$6:$AE$383,18,0)</f>
        <v>0</v>
      </c>
      <c r="T101" s="192">
        <f>VLOOKUP(B101,'Salary -Dec-2024 (Full)'!$B$6:$AE$383,19,0)</f>
        <v>0</v>
      </c>
      <c r="U101" s="337">
        <f>VLOOKUP(B101,'Salary -Dec-2024 (Full)'!$B$6:$AE$383,20,0)</f>
        <v>0</v>
      </c>
      <c r="V101" s="338">
        <f>SUM(R101:U101)</f>
        <v>90000</v>
      </c>
      <c r="W101" s="192">
        <f>VLOOKUP(B101,'Salary -Dec-2024 (Full)'!$B$6:$AE$383,22,0)</f>
        <v>1287</v>
      </c>
      <c r="X101" s="192">
        <f>VLOOKUP(B101,'Salary -Dec-2024 (Full)'!$B$6:$AE$383,23,0)</f>
        <v>0</v>
      </c>
      <c r="Y101" s="337">
        <f>VLOOKUP(B101,'Salary -Dec-2024 (Full)'!$B$6:$AE$383,24,0)</f>
        <v>2700</v>
      </c>
      <c r="Z101" s="192">
        <f>VLOOKUP(B101,'Salary -Dec-2024 (Full)'!$B$6:$AE$383,25,0)</f>
        <v>0</v>
      </c>
      <c r="AA101" s="192">
        <f>VLOOKUP(B101,'Salary -Dec-2024 (Full)'!$B$6:$AE$383,26,0)</f>
        <v>0</v>
      </c>
      <c r="AB101" s="384">
        <f t="shared" ref="AB101" si="278">SUM(W101:AA101)</f>
        <v>3987</v>
      </c>
      <c r="AC101" s="193">
        <f t="shared" ref="AC101" si="279">ROUND(V101-AB101,0)</f>
        <v>86013</v>
      </c>
      <c r="AD101" s="264" t="str">
        <f>VLOOKUP(B101,'Salary -Dec-2024 (Full)'!$B$6:$AE$383,29,0)</f>
        <v>Bank</v>
      </c>
      <c r="AE101" s="264" t="str">
        <f>VLOOKUP(B101,'Salary -Dec-2024 (Full)'!$B$6:$AE$383,30,0)</f>
        <v>103.103.1289224</v>
      </c>
      <c r="AG101" s="61"/>
      <c r="AH101" s="183"/>
      <c r="AI101" s="319"/>
    </row>
    <row r="102" spans="1:35" s="47" customFormat="1" ht="24" customHeight="1">
      <c r="A102" s="253">
        <v>4</v>
      </c>
      <c r="B102" s="254" t="s">
        <v>1202</v>
      </c>
      <c r="C102" s="255" t="str">
        <f>VLOOKUP(B102,'Salary -Dec-2024 (Full)'!$B$6:$D$383,2,0)</f>
        <v>Md Shariful Islam</v>
      </c>
      <c r="D102" s="278" t="str">
        <f>VLOOKUP(B102,'Salary -Dec-2024 (Full)'!$B$6:$D$383,3,0)</f>
        <v>Sr. Manager</v>
      </c>
      <c r="E102" s="256" t="str">
        <f>VLOOKUP(B102,'Salary -Dec-2024 (Full)'!$B$6:$AE$383,4,0)</f>
        <v>CRRM</v>
      </c>
      <c r="F102" s="475">
        <f>VLOOKUP(B102,'Salary -Dec-2024 (Full)'!$B$6:$AE$383,5,0)</f>
        <v>45353</v>
      </c>
      <c r="G102" s="257">
        <f>VLOOKUP(B102,'Salary -Dec-2024 (Full)'!$B$6:$AE$286,6,0)</f>
        <v>31</v>
      </c>
      <c r="H102" s="258">
        <f>VLOOKUP(B102,'Salary -Dec-2024 (Full)'!$B$6:$AE$383,7,0)</f>
        <v>0</v>
      </c>
      <c r="I102" s="257">
        <f t="shared" ref="I102:I103" si="280">G102-H102</f>
        <v>31</v>
      </c>
      <c r="J102" s="258">
        <f t="shared" ref="J102:J103" si="281">Q102/G102</f>
        <v>1612.9032258064517</v>
      </c>
      <c r="K102" s="72">
        <f>VLOOKUP(B102,'Salary -Dec-2024 (Full)'!$B$6:$AE$383,10,0)</f>
        <v>50000</v>
      </c>
      <c r="L102" s="72">
        <f t="shared" ref="L102:L103" si="282">K102*60%</f>
        <v>30000</v>
      </c>
      <c r="M102" s="72">
        <f t="shared" ref="M102:M103" si="283">K102*30%</f>
        <v>15000</v>
      </c>
      <c r="N102" s="72">
        <f t="shared" ref="N102:N103" si="284">K102*6%</f>
        <v>3000</v>
      </c>
      <c r="O102" s="72">
        <f t="shared" ref="O102:O103" si="285">K102*4%</f>
        <v>2000</v>
      </c>
      <c r="P102" s="259"/>
      <c r="Q102" s="260">
        <f t="shared" ref="Q102:Q103" si="286">SUM(L102:P102)</f>
        <v>50000</v>
      </c>
      <c r="R102" s="188">
        <f>VLOOKUP(B102,'Salary -Dec-2024 (Full)'!$B$6:$AE$383,17,0)</f>
        <v>50000</v>
      </c>
      <c r="S102" s="192">
        <f>VLOOKUP(B102,'Salary -Dec-2024 (Full)'!$B$6:$AE$383,18,0)</f>
        <v>0</v>
      </c>
      <c r="T102" s="192">
        <f>VLOOKUP(B102,'Salary -Dec-2024 (Full)'!$B$6:$AE$383,19,0)</f>
        <v>0</v>
      </c>
      <c r="U102" s="337">
        <f>VLOOKUP(B102,'Salary -Dec-2024 (Full)'!$B$6:$AE$383,20,0)</f>
        <v>0</v>
      </c>
      <c r="V102" s="263">
        <f t="shared" ref="V102:V103" si="287">SUM(R102:U102)</f>
        <v>50000</v>
      </c>
      <c r="W102" s="192">
        <f>VLOOKUP(B102,'Salary -Dec-2024 (Full)'!$B$6:$AE$383,22,0)</f>
        <v>417</v>
      </c>
      <c r="X102" s="192">
        <f>VLOOKUP(B102,'Salary -Dec-2024 (Full)'!$B$6:$AE$383,23,0)</f>
        <v>0</v>
      </c>
      <c r="Y102" s="337">
        <f>VLOOKUP(B102,'Salary -Dec-2024 (Full)'!$B$6:$AE$383,24,0)</f>
        <v>0</v>
      </c>
      <c r="Z102" s="192">
        <f>VLOOKUP(B102,'Salary -Dec-2024 (Full)'!$B$6:$AE$383,25,0)</f>
        <v>0</v>
      </c>
      <c r="AA102" s="192">
        <f>VLOOKUP(B102,'Salary -Dec-2024 (Full)'!$B$6:$AE$383,26,0)</f>
        <v>0</v>
      </c>
      <c r="AB102" s="384">
        <f t="shared" si="270"/>
        <v>417</v>
      </c>
      <c r="AC102" s="193">
        <f t="shared" si="271"/>
        <v>49583</v>
      </c>
      <c r="AD102" s="264" t="str">
        <f>VLOOKUP(B102,'Salary -Dec-2024 (Full)'!$B$6:$AE$383,29,0)</f>
        <v>Bank</v>
      </c>
      <c r="AE102" s="264" t="str">
        <f>VLOOKUP(B102,'Salary -Dec-2024 (Full)'!$B$6:$AE$383,30,0)</f>
        <v>103.103.1394001</v>
      </c>
      <c r="AG102" s="61"/>
      <c r="AH102" s="183"/>
      <c r="AI102" s="319"/>
    </row>
    <row r="103" spans="1:35" s="47" customFormat="1" ht="24" customHeight="1">
      <c r="A103" s="253">
        <v>5</v>
      </c>
      <c r="B103" s="254" t="s">
        <v>1225</v>
      </c>
      <c r="C103" s="255" t="str">
        <f>VLOOKUP(B103,'Salary -Dec-2024 (Full)'!$B$6:$D$383,2,0)</f>
        <v>Abdush Salam Pappu</v>
      </c>
      <c r="D103" s="278" t="str">
        <f>VLOOKUP(B103,'Salary -Dec-2024 (Full)'!$B$6:$D$383,3,0)</f>
        <v>Sr. Recovery Officer</v>
      </c>
      <c r="E103" s="256" t="str">
        <f>VLOOKUP(B103,'Salary -Dec-2024 (Full)'!$B$6:$AE$383,4,0)</f>
        <v>CRRM</v>
      </c>
      <c r="F103" s="475">
        <f>VLOOKUP(B103,'Salary -Dec-2024 (Full)'!$B$6:$AE$383,5,0)</f>
        <v>45367</v>
      </c>
      <c r="G103" s="257">
        <f>VLOOKUP(B103,'Salary -Dec-2024 (Full)'!$B$6:$AE$286,6,0)</f>
        <v>31</v>
      </c>
      <c r="H103" s="258">
        <f>VLOOKUP(B103,'Salary -Dec-2024 (Full)'!$B$6:$AE$383,7,0)</f>
        <v>0</v>
      </c>
      <c r="I103" s="257">
        <f t="shared" si="280"/>
        <v>31</v>
      </c>
      <c r="J103" s="258">
        <f t="shared" si="281"/>
        <v>903.22580645161293</v>
      </c>
      <c r="K103" s="72">
        <f>VLOOKUP(B103,'Salary -Dec-2024 (Full)'!$B$6:$AE$383,10,0)</f>
        <v>28000</v>
      </c>
      <c r="L103" s="72">
        <f t="shared" si="282"/>
        <v>16800</v>
      </c>
      <c r="M103" s="72">
        <f t="shared" si="283"/>
        <v>8400</v>
      </c>
      <c r="N103" s="72">
        <f t="shared" si="284"/>
        <v>1680</v>
      </c>
      <c r="O103" s="72">
        <f t="shared" si="285"/>
        <v>1120</v>
      </c>
      <c r="P103" s="259"/>
      <c r="Q103" s="260">
        <f t="shared" si="286"/>
        <v>28000</v>
      </c>
      <c r="R103" s="188">
        <f>VLOOKUP(B103,'Salary -Dec-2024 (Full)'!$B$6:$AE$383,17,0)</f>
        <v>28000</v>
      </c>
      <c r="S103" s="192">
        <f>VLOOKUP(B103,'Salary -Dec-2024 (Full)'!$B$6:$AE$383,18,0)</f>
        <v>0</v>
      </c>
      <c r="T103" s="192">
        <f>VLOOKUP(B103,'Salary -Dec-2024 (Full)'!$B$6:$AE$383,19,0)</f>
        <v>0</v>
      </c>
      <c r="U103" s="337">
        <f>VLOOKUP(B103,'Salary -Dec-2024 (Full)'!$B$6:$AE$383,20,0)</f>
        <v>0</v>
      </c>
      <c r="V103" s="263">
        <f t="shared" si="287"/>
        <v>28000</v>
      </c>
      <c r="W103" s="192">
        <f>VLOOKUP(B103,'Salary -Dec-2024 (Full)'!$B$6:$AE$383,22,0)</f>
        <v>0</v>
      </c>
      <c r="X103" s="192">
        <f>VLOOKUP(B103,'Salary -Dec-2024 (Full)'!$B$6:$AE$383,23,0)</f>
        <v>0</v>
      </c>
      <c r="Y103" s="337">
        <f>VLOOKUP(B103,'Salary -Dec-2024 (Full)'!$B$6:$AE$383,24,0)</f>
        <v>0</v>
      </c>
      <c r="Z103" s="192">
        <f>VLOOKUP(B103,'Salary -Dec-2024 (Full)'!$B$6:$AE$383,25,0)</f>
        <v>0</v>
      </c>
      <c r="AA103" s="192">
        <f>VLOOKUP(B103,'Salary -Dec-2024 (Full)'!$B$6:$AE$383,26,0)</f>
        <v>0</v>
      </c>
      <c r="AB103" s="384">
        <f t="shared" si="270"/>
        <v>0</v>
      </c>
      <c r="AC103" s="193">
        <f t="shared" si="271"/>
        <v>28000</v>
      </c>
      <c r="AD103" s="264" t="str">
        <f>VLOOKUP(B103,'Salary -Dec-2024 (Full)'!$B$6:$AE$383,29,0)</f>
        <v>Bank</v>
      </c>
      <c r="AE103" s="264" t="str">
        <f>VLOOKUP(B103,'Salary -Dec-2024 (Full)'!$B$6:$AE$383,30,0)</f>
        <v>204.103.0063931</v>
      </c>
      <c r="AG103" s="61"/>
      <c r="AH103" s="183"/>
      <c r="AI103" s="319"/>
    </row>
    <row r="104" spans="1:35" s="47" customFormat="1" ht="24" customHeight="1">
      <c r="A104" s="253">
        <v>6</v>
      </c>
      <c r="B104" s="254" t="s">
        <v>1279</v>
      </c>
      <c r="C104" s="255" t="str">
        <f>VLOOKUP(B104,'Salary -Dec-2024 (Full)'!$B$6:$D$383,2,0)</f>
        <v>Suzit Kumar Roy</v>
      </c>
      <c r="D104" s="278" t="str">
        <f>VLOOKUP(B104,'Salary -Dec-2024 (Full)'!$B$6:$D$383,3,0)</f>
        <v>Sr. Recovery Officer</v>
      </c>
      <c r="E104" s="256" t="str">
        <f>VLOOKUP(B104,'Salary -Dec-2024 (Full)'!$B$6:$AE$383,4,0)</f>
        <v>CRRM</v>
      </c>
      <c r="F104" s="475">
        <f>VLOOKUP(B104,'Salary -Dec-2024 (Full)'!$B$6:$AE$383,5,0)</f>
        <v>45384</v>
      </c>
      <c r="G104" s="257">
        <f>VLOOKUP(B104,'Salary -Dec-2024 (Full)'!$B$6:$AE$286,6,0)</f>
        <v>31</v>
      </c>
      <c r="H104" s="258">
        <f>VLOOKUP(B104,'Salary -Dec-2024 (Full)'!$B$6:$AE$383,7,0)</f>
        <v>0</v>
      </c>
      <c r="I104" s="257">
        <f t="shared" ref="I104" si="288">G104-H104</f>
        <v>31</v>
      </c>
      <c r="J104" s="258">
        <f t="shared" ref="J104" si="289">Q104/G104</f>
        <v>903.22580645161293</v>
      </c>
      <c r="K104" s="72">
        <f>VLOOKUP(B104,'Salary -Dec-2024 (Full)'!$B$6:$AE$383,10,0)</f>
        <v>28000</v>
      </c>
      <c r="L104" s="72">
        <f t="shared" ref="L104" si="290">K104*60%</f>
        <v>16800</v>
      </c>
      <c r="M104" s="72">
        <f t="shared" ref="M104" si="291">K104*30%</f>
        <v>8400</v>
      </c>
      <c r="N104" s="72">
        <f t="shared" ref="N104" si="292">K104*6%</f>
        <v>1680</v>
      </c>
      <c r="O104" s="72">
        <f t="shared" ref="O104" si="293">K104*4%</f>
        <v>1120</v>
      </c>
      <c r="P104" s="259"/>
      <c r="Q104" s="260">
        <f t="shared" ref="Q104" si="294">SUM(L104:P104)</f>
        <v>28000</v>
      </c>
      <c r="R104" s="188">
        <f>VLOOKUP(B104,'Salary -Dec-2024 (Full)'!$B$6:$AE$383,17,0)</f>
        <v>28000</v>
      </c>
      <c r="S104" s="192">
        <f>VLOOKUP(B104,'Salary -Dec-2024 (Full)'!$B$6:$AE$383,18,0)</f>
        <v>0</v>
      </c>
      <c r="T104" s="192">
        <f>VLOOKUP(B104,'Salary -Dec-2024 (Full)'!$B$6:$AE$383,19,0)</f>
        <v>0</v>
      </c>
      <c r="U104" s="337">
        <f>VLOOKUP(B104,'Salary -Dec-2024 (Full)'!$B$6:$AE$383,20,0)</f>
        <v>0</v>
      </c>
      <c r="V104" s="263">
        <f t="shared" ref="V104" si="295">SUM(R104:U104)</f>
        <v>28000</v>
      </c>
      <c r="W104" s="192">
        <f>VLOOKUP(B104,'Salary -Dec-2024 (Full)'!$B$6:$AE$383,22,0)</f>
        <v>0</v>
      </c>
      <c r="X104" s="192">
        <f>VLOOKUP(B104,'Salary -Dec-2024 (Full)'!$B$6:$AE$383,23,0)</f>
        <v>0</v>
      </c>
      <c r="Y104" s="337">
        <f>VLOOKUP(B104,'Salary -Dec-2024 (Full)'!$B$6:$AE$383,24,0)</f>
        <v>0</v>
      </c>
      <c r="Z104" s="192">
        <f>VLOOKUP(B104,'Salary -Dec-2024 (Full)'!$B$6:$AE$383,25,0)</f>
        <v>0</v>
      </c>
      <c r="AA104" s="192">
        <f>VLOOKUP(B104,'Salary -Dec-2024 (Full)'!$B$6:$AE$383,26,0)</f>
        <v>0</v>
      </c>
      <c r="AB104" s="384">
        <f t="shared" ref="AB104" si="296">SUM(W104:AA104)</f>
        <v>0</v>
      </c>
      <c r="AC104" s="193">
        <f t="shared" ref="AC104" si="297">ROUND(V104-AB104,0)</f>
        <v>28000</v>
      </c>
      <c r="AD104" s="264" t="str">
        <f>VLOOKUP(B104,'Salary -Dec-2024 (Full)'!$B$6:$AE$383,29,0)</f>
        <v>Bank</v>
      </c>
      <c r="AE104" s="264" t="str">
        <f>VLOOKUP(B104,'Salary -Dec-2024 (Full)'!$B$6:$AE$383,30,0)</f>
        <v>103.103.1279247</v>
      </c>
      <c r="AG104" s="61"/>
      <c r="AH104" s="183"/>
      <c r="AI104" s="319"/>
    </row>
    <row r="105" spans="1:35" s="61" customFormat="1" ht="24" customHeight="1">
      <c r="A105" s="1031" t="s">
        <v>67</v>
      </c>
      <c r="B105" s="1032"/>
      <c r="C105" s="1033"/>
      <c r="D105" s="1034"/>
      <c r="E105" s="1040"/>
      <c r="F105" s="1091"/>
      <c r="G105" s="1040"/>
      <c r="H105" s="1040"/>
      <c r="I105" s="1040"/>
      <c r="J105" s="1040"/>
      <c r="K105" s="1037">
        <f t="shared" ref="K105:AC105" si="298">SUM(K100:K104)</f>
        <v>234000</v>
      </c>
      <c r="L105" s="1037">
        <f t="shared" si="298"/>
        <v>140400</v>
      </c>
      <c r="M105" s="1037">
        <f t="shared" si="298"/>
        <v>70200</v>
      </c>
      <c r="N105" s="1037">
        <f t="shared" si="298"/>
        <v>14040</v>
      </c>
      <c r="O105" s="1037">
        <f t="shared" si="298"/>
        <v>9360</v>
      </c>
      <c r="P105" s="1037">
        <f t="shared" si="298"/>
        <v>0</v>
      </c>
      <c r="Q105" s="1037">
        <f t="shared" si="298"/>
        <v>234000</v>
      </c>
      <c r="R105" s="1037">
        <f t="shared" si="298"/>
        <v>234000</v>
      </c>
      <c r="S105" s="1037">
        <f t="shared" si="298"/>
        <v>0</v>
      </c>
      <c r="T105" s="1037">
        <f t="shared" si="298"/>
        <v>0</v>
      </c>
      <c r="U105" s="1037">
        <f t="shared" si="298"/>
        <v>0</v>
      </c>
      <c r="V105" s="1037">
        <f t="shared" si="298"/>
        <v>234000</v>
      </c>
      <c r="W105" s="1037">
        <f t="shared" si="298"/>
        <v>1704</v>
      </c>
      <c r="X105" s="1037">
        <f t="shared" si="298"/>
        <v>0</v>
      </c>
      <c r="Y105" s="1037">
        <f t="shared" si="298"/>
        <v>3840</v>
      </c>
      <c r="Z105" s="1037">
        <f t="shared" si="298"/>
        <v>2175</v>
      </c>
      <c r="AA105" s="1037">
        <f t="shared" si="298"/>
        <v>0</v>
      </c>
      <c r="AB105" s="1037">
        <f t="shared" si="298"/>
        <v>7719</v>
      </c>
      <c r="AC105" s="1037">
        <f t="shared" si="298"/>
        <v>226281</v>
      </c>
      <c r="AD105" s="1038"/>
      <c r="AE105" s="1038"/>
      <c r="AH105" s="183"/>
      <c r="AI105" s="320"/>
    </row>
    <row r="106" spans="1:35" s="47" customFormat="1" ht="24" customHeight="1">
      <c r="A106" s="347" t="s">
        <v>200</v>
      </c>
      <c r="B106" s="268"/>
      <c r="C106" s="268"/>
      <c r="D106" s="348"/>
      <c r="E106" s="268"/>
      <c r="F106" s="474"/>
      <c r="G106" s="268"/>
      <c r="H106" s="267"/>
      <c r="I106" s="268"/>
      <c r="J106" s="268"/>
      <c r="K106" s="268"/>
      <c r="L106" s="268"/>
      <c r="M106" s="268"/>
      <c r="N106" s="268"/>
      <c r="O106" s="268"/>
      <c r="P106" s="268"/>
      <c r="Q106" s="268"/>
      <c r="R106" s="268"/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557"/>
      <c r="AG106" s="61"/>
      <c r="AH106" s="183"/>
      <c r="AI106" s="320"/>
    </row>
    <row r="107" spans="1:35" s="61" customFormat="1" ht="24" customHeight="1">
      <c r="A107" s="62">
        <v>1</v>
      </c>
      <c r="B107" s="63" t="s">
        <v>273</v>
      </c>
      <c r="C107" s="255" t="str">
        <f>VLOOKUP(B107,'Salary -Dec-2024 (Full)'!$B$6:$D$383,2,0)</f>
        <v>Md. Ali Reza Manik</v>
      </c>
      <c r="D107" s="342" t="str">
        <f>VLOOKUP(B107,'Salary -Dec-2024 (Full)'!$B$6:$D$383,3,0)</f>
        <v>Deputy Regional Manager</v>
      </c>
      <c r="E107" s="343" t="str">
        <f>VLOOKUP(B107,'Salary -Dec-2024 (Full)'!$B$6:$AE$383,4,0)</f>
        <v>S&amp;M</v>
      </c>
      <c r="F107" s="477">
        <f>VLOOKUP(B107,'Salary -Dec-2024 (Full)'!$B$6:$AE$383,5,0)</f>
        <v>44849</v>
      </c>
      <c r="G107" s="257">
        <f>VLOOKUP(B107,'Salary -Dec-2024 (Full)'!$B$6:$AE$383,6,0)</f>
        <v>31</v>
      </c>
      <c r="H107" s="258">
        <f>VLOOKUP(B107,'Salary -Dec-2024 (Full)'!$B$6:$AE$383,7,0)</f>
        <v>0</v>
      </c>
      <c r="I107" s="257">
        <f t="shared" ref="I107" si="299">G107-H107</f>
        <v>31</v>
      </c>
      <c r="J107" s="258">
        <f t="shared" ref="J107" si="300">Q107/G107</f>
        <v>1693.5483870967741</v>
      </c>
      <c r="K107" s="72">
        <f>VLOOKUP(B107,'Salary -Dec-2024 (Full)'!$B$6:$AE$383,10,0)</f>
        <v>52500</v>
      </c>
      <c r="L107" s="72">
        <f t="shared" ref="L107" si="301">K107*60%</f>
        <v>31500</v>
      </c>
      <c r="M107" s="72">
        <f t="shared" ref="M107" si="302">K107*30%</f>
        <v>15750</v>
      </c>
      <c r="N107" s="72">
        <f t="shared" ref="N107" si="303">K107*6%</f>
        <v>3150</v>
      </c>
      <c r="O107" s="72">
        <f t="shared" ref="O107" si="304">K107*4%</f>
        <v>2100</v>
      </c>
      <c r="P107" s="259"/>
      <c r="Q107" s="260">
        <f t="shared" ref="Q107" si="305">SUM(L107:P107)</f>
        <v>52500</v>
      </c>
      <c r="R107" s="188">
        <f>VLOOKUP(B107,'Salary -Dec-2024 (Full)'!$B$6:$AE$383,17,0)</f>
        <v>52500</v>
      </c>
      <c r="S107" s="192">
        <f>VLOOKUP(B107,'Salary -Dec-2024 (Full)'!$B$6:$AE$383,18,0)</f>
        <v>0</v>
      </c>
      <c r="T107" s="192">
        <f>VLOOKUP(B107,'Salary -Dec-2024 (Full)'!$B$6:$AE$383,19,0)</f>
        <v>0</v>
      </c>
      <c r="U107" s="337">
        <f>VLOOKUP(B107,'Salary -Dec-2024 (Full)'!$B$6:$AE$383,20,0)</f>
        <v>0</v>
      </c>
      <c r="V107" s="263">
        <f t="shared" ref="V107" si="306">SUM(R107:U107)</f>
        <v>52500</v>
      </c>
      <c r="W107" s="192">
        <f>VLOOKUP(B107,'Salary -Dec-2024 (Full)'!$B$6:$AE$383,22,0)</f>
        <v>417</v>
      </c>
      <c r="X107" s="192">
        <f>VLOOKUP(B107,'Salary -Dec-2024 (Full)'!$B$6:$AE$383,23,0)</f>
        <v>0</v>
      </c>
      <c r="Y107" s="337">
        <f>VLOOKUP(B107,'Salary -Dec-2024 (Full)'!$B$6:$AE$383,24,0)</f>
        <v>1575</v>
      </c>
      <c r="Z107" s="192">
        <f>VLOOKUP(B107,'Salary -Dec-2024 (Full)'!$B$6:$AE$383,25,0)</f>
        <v>0</v>
      </c>
      <c r="AA107" s="192">
        <f>VLOOKUP(B107,'Salary -Dec-2024 (Full)'!$B$6:$AE$383,26,0)</f>
        <v>0</v>
      </c>
      <c r="AB107" s="384">
        <f t="shared" ref="AB107:AB120" si="307">SUM(W107:AA107)</f>
        <v>1992</v>
      </c>
      <c r="AC107" s="193">
        <f t="shared" ref="AC107:AC120" si="308">ROUND(V107-AB107,0)</f>
        <v>50508</v>
      </c>
      <c r="AD107" s="264" t="str">
        <f>VLOOKUP(B107,'Salary -Dec-2024 (Full)'!$B$6:$AE$383,29,0)</f>
        <v>Bank</v>
      </c>
      <c r="AE107" s="264" t="str">
        <f>VLOOKUP(B107,'Salary -Dec-2024 (Full)'!$B$6:$AE$383,30,0)</f>
        <v>209.151.0118305</v>
      </c>
      <c r="AH107" s="183"/>
      <c r="AI107" s="320"/>
    </row>
    <row r="108" spans="1:35" s="61" customFormat="1" ht="24" customHeight="1">
      <c r="A108" s="62">
        <v>2</v>
      </c>
      <c r="B108" s="63" t="s">
        <v>211</v>
      </c>
      <c r="C108" s="255" t="str">
        <f>VLOOKUP(B108,'Salary -Dec-2024 (Full)'!$B$6:$D$383,2,0)</f>
        <v>Sumon Babu</v>
      </c>
      <c r="D108" s="342" t="str">
        <f>VLOOKUP(B108,'Salary -Dec-2024 (Full)'!$B$6:$D$383,3,0)</f>
        <v>Territory Sales Officer</v>
      </c>
      <c r="E108" s="343" t="str">
        <f>VLOOKUP(B108,'Salary -Dec-2024 (Full)'!$B$6:$AE$383,4,0)</f>
        <v>S&amp;M</v>
      </c>
      <c r="F108" s="477">
        <f>VLOOKUP(B108,'Salary -Dec-2024 (Full)'!$B$6:$AE$383,5,0)</f>
        <v>44654</v>
      </c>
      <c r="G108" s="257">
        <f>VLOOKUP(B108,'Salary -Dec-2024 (Full)'!$B$6:$AE$383,6,0)</f>
        <v>31</v>
      </c>
      <c r="H108" s="258">
        <f>VLOOKUP(B108,'Salary -Dec-2024 (Full)'!$B$6:$AE$383,7,0)</f>
        <v>0</v>
      </c>
      <c r="I108" s="257">
        <f t="shared" ref="I108:I109" si="309">G108-H108</f>
        <v>31</v>
      </c>
      <c r="J108" s="258">
        <f t="shared" ref="J108:J109" si="310">Q108/G108</f>
        <v>967.74193548387098</v>
      </c>
      <c r="K108" s="72">
        <f>VLOOKUP(B108,'Salary -Dec-2024 (Full)'!$B$6:$AE$383,10,0)</f>
        <v>30000</v>
      </c>
      <c r="L108" s="72">
        <f t="shared" ref="L108:L109" si="311">K108*60%</f>
        <v>18000</v>
      </c>
      <c r="M108" s="72">
        <f t="shared" ref="M108:M109" si="312">K108*30%</f>
        <v>9000</v>
      </c>
      <c r="N108" s="72">
        <f t="shared" ref="N108:N109" si="313">K108*6%</f>
        <v>1800</v>
      </c>
      <c r="O108" s="72">
        <f t="shared" ref="O108:O109" si="314">K108*4%</f>
        <v>1200</v>
      </c>
      <c r="P108" s="259"/>
      <c r="Q108" s="260">
        <f t="shared" ref="Q108:Q109" si="315">SUM(L108:P108)</f>
        <v>30000</v>
      </c>
      <c r="R108" s="188">
        <f>VLOOKUP(B108,'Salary -Dec-2024 (Full)'!$B$6:$AE$383,17,0)</f>
        <v>30000</v>
      </c>
      <c r="S108" s="192">
        <f>VLOOKUP(B108,'Salary -Dec-2024 (Full)'!$B$6:$AE$383,18,0)</f>
        <v>0</v>
      </c>
      <c r="T108" s="192">
        <f>VLOOKUP(B108,'Salary -Dec-2024 (Full)'!$B$6:$AE$383,19,0)</f>
        <v>0</v>
      </c>
      <c r="U108" s="337">
        <f>VLOOKUP(B108,'Salary -Dec-2024 (Full)'!$B$6:$AE$383,20,0)</f>
        <v>0</v>
      </c>
      <c r="V108" s="263">
        <f t="shared" ref="V108:V109" si="316">SUM(R108:U108)</f>
        <v>30000</v>
      </c>
      <c r="W108" s="192">
        <f>VLOOKUP(B108,'Salary -Dec-2024 (Full)'!$B$6:$AE$383,22,0)</f>
        <v>0</v>
      </c>
      <c r="X108" s="192">
        <f>VLOOKUP(B108,'Salary -Dec-2024 (Full)'!$B$6:$AE$383,23,0)</f>
        <v>0</v>
      </c>
      <c r="Y108" s="337">
        <f>VLOOKUP(B108,'Salary -Dec-2024 (Full)'!$B$6:$AE$383,24,0)</f>
        <v>900</v>
      </c>
      <c r="Z108" s="192">
        <f>VLOOKUP(B108,'Salary -Dec-2024 (Full)'!$B$6:$AE$383,25,0)</f>
        <v>1058</v>
      </c>
      <c r="AA108" s="192">
        <f>VLOOKUP(B108,'Salary -Dec-2024 (Full)'!$B$6:$AE$383,26,0)</f>
        <v>0</v>
      </c>
      <c r="AB108" s="384">
        <f t="shared" ref="AB108:AB109" si="317">SUM(W108:AA108)</f>
        <v>1958</v>
      </c>
      <c r="AC108" s="193">
        <f t="shared" ref="AC108:AC109" si="318">ROUND(V108-AB108,0)</f>
        <v>28042</v>
      </c>
      <c r="AD108" s="264" t="str">
        <f>VLOOKUP(B108,'Salary -Dec-2024 (Full)'!$B$6:$AE$383,29,0)</f>
        <v>Bank</v>
      </c>
      <c r="AE108" s="264" t="str">
        <f>VLOOKUP(B108,'Salary -Dec-2024 (Full)'!$B$6:$AE$383,30,0)</f>
        <v>204.103.0060831</v>
      </c>
      <c r="AH108" s="183"/>
      <c r="AI108" s="320"/>
    </row>
    <row r="109" spans="1:35" s="47" customFormat="1" ht="24" customHeight="1">
      <c r="A109" s="253">
        <v>3</v>
      </c>
      <c r="B109" s="254" t="s">
        <v>219</v>
      </c>
      <c r="C109" s="255" t="str">
        <f>VLOOKUP(B109,'Salary -Dec-2024 (Full)'!$B$6:$D$383,2,0)</f>
        <v>Md. Mizanur Rahman</v>
      </c>
      <c r="D109" s="342" t="str">
        <f>VLOOKUP(B109,'Salary -Dec-2024 (Full)'!$B$6:$D$383,3,0)</f>
        <v>Territory Manager</v>
      </c>
      <c r="E109" s="343" t="str">
        <f>VLOOKUP(B109,'Salary -Dec-2024 (Full)'!$B$6:$AE$383,4,0)</f>
        <v>S&amp;M</v>
      </c>
      <c r="F109" s="477">
        <f>VLOOKUP(B109,'Salary -Dec-2024 (Full)'!$B$6:$AE$383,5,0)</f>
        <v>44621</v>
      </c>
      <c r="G109" s="257">
        <f>VLOOKUP(B109,'Salary -Dec-2024 (Full)'!$B$6:$AE$383,6,0)</f>
        <v>31</v>
      </c>
      <c r="H109" s="258">
        <f>VLOOKUP(B109,'Salary -Dec-2024 (Full)'!$B$6:$AE$383,7,0)</f>
        <v>0</v>
      </c>
      <c r="I109" s="257">
        <f t="shared" si="309"/>
        <v>31</v>
      </c>
      <c r="J109" s="258">
        <f t="shared" si="310"/>
        <v>1725.8064516129032</v>
      </c>
      <c r="K109" s="72">
        <f>VLOOKUP(B109,'Salary -Dec-2024 (Full)'!$B$6:$AE$383,10,0)</f>
        <v>53500</v>
      </c>
      <c r="L109" s="72">
        <f t="shared" si="311"/>
        <v>32100</v>
      </c>
      <c r="M109" s="72">
        <f t="shared" si="312"/>
        <v>16050</v>
      </c>
      <c r="N109" s="72">
        <f t="shared" si="313"/>
        <v>3210</v>
      </c>
      <c r="O109" s="72">
        <f t="shared" si="314"/>
        <v>2140</v>
      </c>
      <c r="P109" s="259"/>
      <c r="Q109" s="260">
        <f t="shared" si="315"/>
        <v>53500</v>
      </c>
      <c r="R109" s="188">
        <f>VLOOKUP(B109,'Salary -Dec-2024 (Full)'!$B$6:$AE$383,17,0)</f>
        <v>53500</v>
      </c>
      <c r="S109" s="192">
        <f>VLOOKUP(B109,'Salary -Dec-2024 (Full)'!$B$6:$AE$383,18,0)</f>
        <v>0</v>
      </c>
      <c r="T109" s="192">
        <f>VLOOKUP(B109,'Salary -Dec-2024 (Full)'!$B$6:$AE$383,19,0)</f>
        <v>0</v>
      </c>
      <c r="U109" s="337">
        <f>VLOOKUP(B109,'Salary -Dec-2024 (Full)'!$B$6:$AE$383,20,0)</f>
        <v>0</v>
      </c>
      <c r="V109" s="263">
        <f t="shared" si="316"/>
        <v>53500</v>
      </c>
      <c r="W109" s="192">
        <f>VLOOKUP(B109,'Salary -Dec-2024 (Full)'!$B$6:$AE$383,22,0)</f>
        <v>417</v>
      </c>
      <c r="X109" s="192">
        <f>VLOOKUP(B109,'Salary -Dec-2024 (Full)'!$B$6:$AE$383,23,0)</f>
        <v>0</v>
      </c>
      <c r="Y109" s="337">
        <f>VLOOKUP(B109,'Salary -Dec-2024 (Full)'!$B$6:$AE$383,24,0)</f>
        <v>1605</v>
      </c>
      <c r="Z109" s="192">
        <f>VLOOKUP(B109,'Salary -Dec-2024 (Full)'!$B$6:$AE$383,25,0)</f>
        <v>2160</v>
      </c>
      <c r="AA109" s="192">
        <f>VLOOKUP(B109,'Salary -Dec-2024 (Full)'!$B$6:$AE$383,26,0)</f>
        <v>0</v>
      </c>
      <c r="AB109" s="384">
        <f t="shared" si="317"/>
        <v>4182</v>
      </c>
      <c r="AC109" s="193">
        <f t="shared" si="318"/>
        <v>49318</v>
      </c>
      <c r="AD109" s="264" t="str">
        <f>VLOOKUP(B109,'Salary -Dec-2024 (Full)'!$B$6:$AE$383,29,0)</f>
        <v>Bank</v>
      </c>
      <c r="AE109" s="264" t="str">
        <f>VLOOKUP(B109,'Salary -Dec-2024 (Full)'!$B$6:$AE$383,30,0)</f>
        <v>220.101.0010720</v>
      </c>
      <c r="AG109" s="61"/>
      <c r="AH109" s="183"/>
      <c r="AI109" s="319"/>
    </row>
    <row r="110" spans="1:35" s="47" customFormat="1" ht="24" customHeight="1">
      <c r="A110" s="62">
        <v>4</v>
      </c>
      <c r="B110" s="254" t="s">
        <v>227</v>
      </c>
      <c r="C110" s="255" t="str">
        <f>VLOOKUP(B110,'Salary -Dec-2024 (Full)'!$B$6:$D$383,2,0)</f>
        <v>Md. Sabbir Ahmed</v>
      </c>
      <c r="D110" s="342" t="str">
        <f>VLOOKUP(B110,'Salary -Dec-2024 (Full)'!$B$6:$D$383,3,0)</f>
        <v>Sr. Terrtory Manager</v>
      </c>
      <c r="E110" s="343" t="str">
        <f>VLOOKUP(B110,'Salary -Dec-2024 (Full)'!$B$6:$AE$383,4,0)</f>
        <v>S&amp;M</v>
      </c>
      <c r="F110" s="477">
        <f>VLOOKUP(B110,'Salary -Dec-2024 (Full)'!$B$6:$AE$383,5,0)</f>
        <v>44640</v>
      </c>
      <c r="G110" s="257">
        <f>VLOOKUP(B110,'Salary -Dec-2024 (Full)'!$B$6:$AE$383,6,0)</f>
        <v>31</v>
      </c>
      <c r="H110" s="258">
        <f>VLOOKUP(B110,'Salary -Dec-2024 (Full)'!$B$6:$AE$383,7,0)</f>
        <v>27</v>
      </c>
      <c r="I110" s="257">
        <f t="shared" ref="I110:I119" si="319">G110-H110</f>
        <v>4</v>
      </c>
      <c r="J110" s="258">
        <f t="shared" ref="J110:J119" si="320">Q110/G110</f>
        <v>1709.6774193548388</v>
      </c>
      <c r="K110" s="72">
        <f>VLOOKUP(B110,'Salary -Dec-2024 (Full)'!$B$6:$AE$383,10,0)</f>
        <v>53000</v>
      </c>
      <c r="L110" s="72">
        <f t="shared" ref="L110:L119" si="321">K110*60%</f>
        <v>31800</v>
      </c>
      <c r="M110" s="72">
        <f t="shared" ref="M110:M119" si="322">K110*30%</f>
        <v>15900</v>
      </c>
      <c r="N110" s="72">
        <f t="shared" ref="N110:N119" si="323">K110*6%</f>
        <v>3180</v>
      </c>
      <c r="O110" s="72">
        <f t="shared" ref="O110:O119" si="324">K110*4%</f>
        <v>2120</v>
      </c>
      <c r="P110" s="259"/>
      <c r="Q110" s="260">
        <f t="shared" ref="Q110:Q119" si="325">SUM(L110:P110)</f>
        <v>53000</v>
      </c>
      <c r="R110" s="188">
        <f>VLOOKUP(B110,'Salary -Dec-2024 (Full)'!$B$6:$AE$383,17,0)</f>
        <v>6839</v>
      </c>
      <c r="S110" s="192">
        <f>VLOOKUP(B110,'Salary -Dec-2024 (Full)'!$B$6:$AE$383,18,0)</f>
        <v>0</v>
      </c>
      <c r="T110" s="192">
        <f>VLOOKUP(B110,'Salary -Dec-2024 (Full)'!$B$6:$AE$383,19,0)</f>
        <v>0</v>
      </c>
      <c r="U110" s="337">
        <f>VLOOKUP(B110,'Salary -Dec-2024 (Full)'!$B$6:$AE$383,20,0)</f>
        <v>0</v>
      </c>
      <c r="V110" s="263">
        <f t="shared" ref="V110:V119" si="326">SUM(R110:U110)</f>
        <v>6839</v>
      </c>
      <c r="W110" s="192">
        <f>VLOOKUP(B110,'Salary -Dec-2024 (Full)'!$B$6:$AE$383,22,0)</f>
        <v>417</v>
      </c>
      <c r="X110" s="192">
        <f>VLOOKUP(B110,'Salary -Dec-2024 (Full)'!$B$6:$AE$383,23,0)</f>
        <v>0</v>
      </c>
      <c r="Y110" s="337">
        <f>VLOOKUP(B110,'Salary -Dec-2024 (Full)'!$B$6:$AE$383,24,0)</f>
        <v>1590</v>
      </c>
      <c r="Z110" s="192">
        <f>VLOOKUP(B110,'Salary -Dec-2024 (Full)'!$B$6:$AE$383,25,0)</f>
        <v>2160</v>
      </c>
      <c r="AA110" s="192">
        <f>VLOOKUP(B110,'Salary -Dec-2024 (Full)'!$B$6:$AE$383,26,0)</f>
        <v>0</v>
      </c>
      <c r="AB110" s="384">
        <f t="shared" ref="AB110:AB119" si="327">SUM(W110:AA110)</f>
        <v>4167</v>
      </c>
      <c r="AC110" s="193">
        <f t="shared" ref="AC110:AC119" si="328">ROUND(V110-AB110,0)</f>
        <v>2672</v>
      </c>
      <c r="AD110" s="264" t="str">
        <f>VLOOKUP(B110,'Salary -Dec-2024 (Full)'!$B$6:$AE$383,29,0)</f>
        <v>Cash</v>
      </c>
      <c r="AE110" s="264" t="str">
        <f>VLOOKUP(B110,'Salary -Dec-2024 (Full)'!$B$6:$AE$383,30,0)</f>
        <v>Resign</v>
      </c>
      <c r="AG110" s="61"/>
      <c r="AH110" s="183"/>
      <c r="AI110" s="319"/>
    </row>
    <row r="111" spans="1:35" s="47" customFormat="1" ht="24" customHeight="1">
      <c r="A111" s="253">
        <v>5</v>
      </c>
      <c r="B111" s="254" t="s">
        <v>229</v>
      </c>
      <c r="C111" s="255" t="str">
        <f>VLOOKUP(B111,'Salary -Dec-2024 (Full)'!$B$6:$D$383,2,0)</f>
        <v>Md. Manjurul Hoque</v>
      </c>
      <c r="D111" s="342" t="str">
        <f>VLOOKUP(B111,'Salary -Dec-2024 (Full)'!$B$6:$D$383,3,0)</f>
        <v>Sr. Territory Sales officer</v>
      </c>
      <c r="E111" s="343" t="str">
        <f>VLOOKUP(B111,'Salary -Dec-2024 (Full)'!$B$6:$AE$383,4,0)</f>
        <v>S&amp;M</v>
      </c>
      <c r="F111" s="477">
        <f>VLOOKUP(B111,'Salary -Dec-2024 (Full)'!$B$6:$AE$383,5,0)</f>
        <v>44635</v>
      </c>
      <c r="G111" s="257">
        <f>VLOOKUP(B111,'Salary -Dec-2024 (Full)'!$B$6:$AE$383,6,0)</f>
        <v>31</v>
      </c>
      <c r="H111" s="258">
        <f>VLOOKUP(B111,'Salary -Dec-2024 (Full)'!$B$6:$AE$383,7,0)</f>
        <v>0</v>
      </c>
      <c r="I111" s="257">
        <f t="shared" si="319"/>
        <v>31</v>
      </c>
      <c r="J111" s="258">
        <f t="shared" si="320"/>
        <v>983.87096774193549</v>
      </c>
      <c r="K111" s="72">
        <f>VLOOKUP(B111,'Salary -Dec-2024 (Full)'!$B$6:$AE$383,10,0)</f>
        <v>30500</v>
      </c>
      <c r="L111" s="72">
        <f t="shared" si="321"/>
        <v>18300</v>
      </c>
      <c r="M111" s="72">
        <f t="shared" si="322"/>
        <v>9150</v>
      </c>
      <c r="N111" s="72">
        <f t="shared" si="323"/>
        <v>1830</v>
      </c>
      <c r="O111" s="72">
        <f t="shared" si="324"/>
        <v>1220</v>
      </c>
      <c r="P111" s="259"/>
      <c r="Q111" s="260">
        <f t="shared" si="325"/>
        <v>30500</v>
      </c>
      <c r="R111" s="188">
        <f>VLOOKUP(B111,'Salary -Dec-2024 (Full)'!$B$6:$AE$383,17,0)</f>
        <v>30500</v>
      </c>
      <c r="S111" s="192">
        <f>VLOOKUP(B111,'Salary -Dec-2024 (Full)'!$B$6:$AE$383,18,0)</f>
        <v>0</v>
      </c>
      <c r="T111" s="192">
        <f>VLOOKUP(B111,'Salary -Dec-2024 (Full)'!$B$6:$AE$383,19,0)</f>
        <v>0</v>
      </c>
      <c r="U111" s="337">
        <f>VLOOKUP(B111,'Salary -Dec-2024 (Full)'!$B$6:$AE$383,20,0)</f>
        <v>0</v>
      </c>
      <c r="V111" s="263">
        <f t="shared" si="326"/>
        <v>30500</v>
      </c>
      <c r="W111" s="192">
        <f>VLOOKUP(B111,'Salary -Dec-2024 (Full)'!$B$6:$AE$383,22,0)</f>
        <v>0</v>
      </c>
      <c r="X111" s="192">
        <f>VLOOKUP(B111,'Salary -Dec-2024 (Full)'!$B$6:$AE$383,23,0)</f>
        <v>0</v>
      </c>
      <c r="Y111" s="337">
        <f>VLOOKUP(B111,'Salary -Dec-2024 (Full)'!$B$6:$AE$383,24,0)</f>
        <v>915</v>
      </c>
      <c r="Z111" s="192">
        <f>VLOOKUP(B111,'Salary -Dec-2024 (Full)'!$B$6:$AE$383,25,0)</f>
        <v>1058</v>
      </c>
      <c r="AA111" s="192">
        <f>VLOOKUP(B111,'Salary -Dec-2024 (Full)'!$B$6:$AE$383,26,0)</f>
        <v>0</v>
      </c>
      <c r="AB111" s="384">
        <f t="shared" si="327"/>
        <v>1973</v>
      </c>
      <c r="AC111" s="193">
        <f t="shared" si="328"/>
        <v>28527</v>
      </c>
      <c r="AD111" s="264" t="str">
        <f>VLOOKUP(B111,'Salary -Dec-2024 (Full)'!$B$6:$AE$383,29,0)</f>
        <v>Bank</v>
      </c>
      <c r="AE111" s="264" t="str">
        <f>VLOOKUP(B111,'Salary -Dec-2024 (Full)'!$B$6:$AE$383,30,0)</f>
        <v>263.158.0009563</v>
      </c>
      <c r="AG111" s="61"/>
      <c r="AH111" s="183"/>
      <c r="AI111" s="319"/>
    </row>
    <row r="112" spans="1:35" s="47" customFormat="1" ht="24" customHeight="1">
      <c r="A112" s="62">
        <v>6</v>
      </c>
      <c r="B112" s="254" t="s">
        <v>232</v>
      </c>
      <c r="C112" s="255" t="str">
        <f>VLOOKUP(B112,'Salary -Dec-2024 (Full)'!$B$6:$D$383,2,0)</f>
        <v>Shahadat Hossain</v>
      </c>
      <c r="D112" s="342" t="str">
        <f>VLOOKUP(B112,'Salary -Dec-2024 (Full)'!$B$6:$D$383,3,0)</f>
        <v>Territory Sales officer</v>
      </c>
      <c r="E112" s="343" t="str">
        <f>VLOOKUP(B112,'Salary -Dec-2024 (Full)'!$B$6:$AE$383,4,0)</f>
        <v>S&amp;M</v>
      </c>
      <c r="F112" s="477">
        <f>VLOOKUP(B112,'Salary -Dec-2024 (Full)'!$B$6:$AE$383,5,0)</f>
        <v>44653</v>
      </c>
      <c r="G112" s="257">
        <f>VLOOKUP(B112,'Salary -Dec-2024 (Full)'!$B$6:$AE$383,6,0)</f>
        <v>31</v>
      </c>
      <c r="H112" s="258">
        <f>VLOOKUP(B112,'Salary -Dec-2024 (Full)'!$B$6:$AE$383,7,0)</f>
        <v>0</v>
      </c>
      <c r="I112" s="257">
        <f t="shared" si="319"/>
        <v>31</v>
      </c>
      <c r="J112" s="258">
        <f t="shared" si="320"/>
        <v>870.9677419354839</v>
      </c>
      <c r="K112" s="72">
        <f>VLOOKUP(B112,'Salary -Dec-2024 (Full)'!$B$6:$AE$383,10,0)</f>
        <v>27000</v>
      </c>
      <c r="L112" s="72">
        <f t="shared" si="321"/>
        <v>16200</v>
      </c>
      <c r="M112" s="72">
        <f t="shared" si="322"/>
        <v>8100</v>
      </c>
      <c r="N112" s="72">
        <f t="shared" si="323"/>
        <v>1620</v>
      </c>
      <c r="O112" s="72">
        <f t="shared" si="324"/>
        <v>1080</v>
      </c>
      <c r="P112" s="259"/>
      <c r="Q112" s="260">
        <f t="shared" si="325"/>
        <v>27000</v>
      </c>
      <c r="R112" s="188">
        <f>VLOOKUP(B112,'Salary -Dec-2024 (Full)'!$B$6:$AE$383,17,0)</f>
        <v>27000</v>
      </c>
      <c r="S112" s="192">
        <f>VLOOKUP(B112,'Salary -Dec-2024 (Full)'!$B$6:$AE$383,18,0)</f>
        <v>0</v>
      </c>
      <c r="T112" s="192">
        <f>VLOOKUP(B112,'Salary -Dec-2024 (Full)'!$B$6:$AE$383,19,0)</f>
        <v>0</v>
      </c>
      <c r="U112" s="337">
        <f>VLOOKUP(B112,'Salary -Dec-2024 (Full)'!$B$6:$AE$383,20,0)</f>
        <v>0</v>
      </c>
      <c r="V112" s="263">
        <f t="shared" si="326"/>
        <v>27000</v>
      </c>
      <c r="W112" s="192">
        <f>VLOOKUP(B112,'Salary -Dec-2024 (Full)'!$B$6:$AE$383,22,0)</f>
        <v>0</v>
      </c>
      <c r="X112" s="192">
        <f>VLOOKUP(B112,'Salary -Dec-2024 (Full)'!$B$6:$AE$383,23,0)</f>
        <v>0</v>
      </c>
      <c r="Y112" s="337">
        <f>VLOOKUP(B112,'Salary -Dec-2024 (Full)'!$B$6:$AE$383,24,0)</f>
        <v>810</v>
      </c>
      <c r="Z112" s="192">
        <f>VLOOKUP(B112,'Salary -Dec-2024 (Full)'!$B$6:$AE$383,25,0)</f>
        <v>1058</v>
      </c>
      <c r="AA112" s="192">
        <f>VLOOKUP(B112,'Salary -Dec-2024 (Full)'!$B$6:$AE$383,26,0)</f>
        <v>0</v>
      </c>
      <c r="AB112" s="384">
        <f t="shared" si="327"/>
        <v>1868</v>
      </c>
      <c r="AC112" s="193">
        <f t="shared" si="328"/>
        <v>25132</v>
      </c>
      <c r="AD112" s="264" t="str">
        <f>VLOOKUP(B112,'Salary -Dec-2024 (Full)'!$B$6:$AE$383,29,0)</f>
        <v>Bank</v>
      </c>
      <c r="AE112" s="264" t="str">
        <f>VLOOKUP(B112,'Salary -Dec-2024 (Full)'!$B$6:$AE$383,30,0)</f>
        <v>162.158.0036284</v>
      </c>
      <c r="AG112" s="61"/>
      <c r="AH112" s="183"/>
      <c r="AI112" s="319"/>
    </row>
    <row r="113" spans="1:35" s="47" customFormat="1" ht="24" customHeight="1">
      <c r="A113" s="253">
        <v>7</v>
      </c>
      <c r="B113" s="254" t="s">
        <v>238</v>
      </c>
      <c r="C113" s="255" t="str">
        <f>VLOOKUP(B113,'Salary -Dec-2024 (Full)'!$B$6:$D$383,2,0)</f>
        <v>Mamun Chowdhury</v>
      </c>
      <c r="D113" s="342" t="str">
        <f>VLOOKUP(B113,'Salary -Dec-2024 (Full)'!$B$6:$D$383,3,0)</f>
        <v>Territory Sales officer(Stemz)</v>
      </c>
      <c r="E113" s="343" t="str">
        <f>VLOOKUP(B113,'Salary -Dec-2024 (Full)'!$B$6:$AE$383,4,0)</f>
        <v>S&amp;M</v>
      </c>
      <c r="F113" s="477">
        <f>VLOOKUP(B113,'Salary -Dec-2024 (Full)'!$B$6:$AE$383,5,0)</f>
        <v>44625</v>
      </c>
      <c r="G113" s="257">
        <f>VLOOKUP(B113,'Salary -Dec-2024 (Full)'!$B$6:$AE$383,6,0)</f>
        <v>31</v>
      </c>
      <c r="H113" s="258">
        <f>VLOOKUP(B113,'Salary -Dec-2024 (Full)'!$B$6:$AE$383,7,0)</f>
        <v>0</v>
      </c>
      <c r="I113" s="257">
        <f t="shared" ref="I113" si="329">G113-H113</f>
        <v>31</v>
      </c>
      <c r="J113" s="258">
        <f t="shared" ref="J113" si="330">Q113/G113</f>
        <v>838.70967741935488</v>
      </c>
      <c r="K113" s="72">
        <f>VLOOKUP(B113,'Salary -Dec-2024 (Full)'!$B$6:$AE$383,10,0)</f>
        <v>26000</v>
      </c>
      <c r="L113" s="72">
        <f t="shared" ref="L113" si="331">K113*60%</f>
        <v>15600</v>
      </c>
      <c r="M113" s="72">
        <f t="shared" ref="M113" si="332">K113*30%</f>
        <v>7800</v>
      </c>
      <c r="N113" s="72">
        <f t="shared" ref="N113" si="333">K113*6%</f>
        <v>1560</v>
      </c>
      <c r="O113" s="72">
        <f t="shared" ref="O113" si="334">K113*4%</f>
        <v>1040</v>
      </c>
      <c r="P113" s="259"/>
      <c r="Q113" s="260">
        <f t="shared" ref="Q113" si="335">SUM(L113:P113)</f>
        <v>26000</v>
      </c>
      <c r="R113" s="188">
        <f>VLOOKUP(B113,'Salary -Dec-2024 (Full)'!$B$6:$AE$383,17,0)</f>
        <v>26000</v>
      </c>
      <c r="S113" s="192">
        <f>VLOOKUP(B113,'Salary -Dec-2024 (Full)'!$B$6:$AE$383,18,0)</f>
        <v>2000</v>
      </c>
      <c r="T113" s="192">
        <f>VLOOKUP(B113,'Salary -Dec-2024 (Full)'!$B$6:$AE$383,19,0)</f>
        <v>0</v>
      </c>
      <c r="U113" s="337">
        <f>VLOOKUP(B113,'Salary -Dec-2024 (Full)'!$B$6:$AE$383,20,0)</f>
        <v>0</v>
      </c>
      <c r="V113" s="263">
        <f t="shared" ref="V113" si="336">SUM(R113:U113)</f>
        <v>28000</v>
      </c>
      <c r="W113" s="192">
        <f>VLOOKUP(B113,'Salary -Dec-2024 (Full)'!$B$6:$AE$383,22,0)</f>
        <v>0</v>
      </c>
      <c r="X113" s="192">
        <f>VLOOKUP(B113,'Salary -Dec-2024 (Full)'!$B$6:$AE$383,23,0)</f>
        <v>0</v>
      </c>
      <c r="Y113" s="337">
        <f>VLOOKUP(B113,'Salary -Dec-2024 (Full)'!$B$6:$AE$383,24,0)</f>
        <v>780</v>
      </c>
      <c r="Z113" s="192">
        <f>VLOOKUP(B113,'Salary -Dec-2024 (Full)'!$B$6:$AE$383,25,0)</f>
        <v>0</v>
      </c>
      <c r="AA113" s="192">
        <f>VLOOKUP(B113,'Salary -Dec-2024 (Full)'!$B$6:$AE$383,26,0)</f>
        <v>0</v>
      </c>
      <c r="AB113" s="384">
        <f t="shared" ref="AB113" si="337">SUM(W113:AA113)</f>
        <v>780</v>
      </c>
      <c r="AC113" s="193">
        <f t="shared" ref="AC113" si="338">ROUND(V113-AB113,0)</f>
        <v>27220</v>
      </c>
      <c r="AD113" s="264" t="str">
        <f>VLOOKUP(B113,'Salary -Dec-2024 (Full)'!$B$6:$AE$383,29,0)</f>
        <v>Bank</v>
      </c>
      <c r="AE113" s="264" t="str">
        <f>VLOOKUP(B113,'Salary -Dec-2024 (Full)'!$B$6:$AE$383,30,0)</f>
        <v>302.158.0011118</v>
      </c>
      <c r="AG113" s="61"/>
      <c r="AH113" s="183"/>
      <c r="AI113" s="319"/>
    </row>
    <row r="114" spans="1:35" s="47" customFormat="1" ht="24" customHeight="1">
      <c r="A114" s="62">
        <v>8</v>
      </c>
      <c r="B114" s="254" t="s">
        <v>247</v>
      </c>
      <c r="C114" s="255" t="str">
        <f>VLOOKUP(B114,'Salary -Dec-2024 (Full)'!$B$6:$D$383,2,0)</f>
        <v>Md. Ibrahim Miah</v>
      </c>
      <c r="D114" s="342" t="str">
        <f>VLOOKUP(B114,'Salary -Dec-2024 (Full)'!$B$6:$D$383,3,0)</f>
        <v>Sr. Regional Manager</v>
      </c>
      <c r="E114" s="343" t="str">
        <f>VLOOKUP(B114,'Salary -Dec-2024 (Full)'!$B$6:$AE$383,4,0)</f>
        <v>S&amp;M</v>
      </c>
      <c r="F114" s="477">
        <f>VLOOKUP(B114,'Salary -Dec-2024 (Full)'!$B$6:$AE$383,5,0)</f>
        <v>44472</v>
      </c>
      <c r="G114" s="257">
        <f>VLOOKUP(B114,'Salary -Dec-2024 (Full)'!$B$6:$AE$383,6,0)</f>
        <v>31</v>
      </c>
      <c r="H114" s="258">
        <f>VLOOKUP(B114,'Salary -Dec-2024 (Full)'!$B$6:$AE$383,7,0)</f>
        <v>0</v>
      </c>
      <c r="I114" s="257">
        <f t="shared" si="319"/>
        <v>31</v>
      </c>
      <c r="J114" s="258">
        <f t="shared" si="320"/>
        <v>2258.0645161290322</v>
      </c>
      <c r="K114" s="72">
        <f>VLOOKUP(B114,'Salary -Dec-2024 (Full)'!$B$6:$AE$383,10,0)</f>
        <v>70000</v>
      </c>
      <c r="L114" s="72">
        <f t="shared" si="321"/>
        <v>42000</v>
      </c>
      <c r="M114" s="72">
        <f t="shared" si="322"/>
        <v>21000</v>
      </c>
      <c r="N114" s="72">
        <f t="shared" si="323"/>
        <v>4200</v>
      </c>
      <c r="O114" s="72">
        <f t="shared" si="324"/>
        <v>2800</v>
      </c>
      <c r="P114" s="259"/>
      <c r="Q114" s="260">
        <f t="shared" si="325"/>
        <v>70000</v>
      </c>
      <c r="R114" s="188">
        <f>VLOOKUP(B114,'Salary -Dec-2024 (Full)'!$B$6:$AE$383,17,0)</f>
        <v>70000</v>
      </c>
      <c r="S114" s="192">
        <f>VLOOKUP(B114,'Salary -Dec-2024 (Full)'!$B$6:$AE$383,18,0)</f>
        <v>0</v>
      </c>
      <c r="T114" s="192">
        <f>VLOOKUP(B114,'Salary -Dec-2024 (Full)'!$B$6:$AE$383,19,0)</f>
        <v>0</v>
      </c>
      <c r="U114" s="337">
        <f>VLOOKUP(B114,'Salary -Dec-2024 (Full)'!$B$6:$AE$383,20,0)</f>
        <v>0</v>
      </c>
      <c r="V114" s="263">
        <f t="shared" si="326"/>
        <v>70000</v>
      </c>
      <c r="W114" s="192">
        <f>VLOOKUP(B114,'Salary -Dec-2024 (Full)'!$B$6:$AE$383,22,0)</f>
        <v>417</v>
      </c>
      <c r="X114" s="192">
        <f>VLOOKUP(B114,'Salary -Dec-2024 (Full)'!$B$6:$AE$383,23,0)</f>
        <v>0</v>
      </c>
      <c r="Y114" s="337">
        <f>VLOOKUP(B114,'Salary -Dec-2024 (Full)'!$B$6:$AE$383,24,0)</f>
        <v>2100</v>
      </c>
      <c r="Z114" s="192">
        <f>VLOOKUP(B114,'Salary -Dec-2024 (Full)'!$B$6:$AE$383,25,0)</f>
        <v>0</v>
      </c>
      <c r="AA114" s="192">
        <f>VLOOKUP(B114,'Salary -Dec-2024 (Full)'!$B$6:$AE$383,26,0)</f>
        <v>0</v>
      </c>
      <c r="AB114" s="384">
        <f t="shared" si="327"/>
        <v>2517</v>
      </c>
      <c r="AC114" s="193">
        <f t="shared" si="328"/>
        <v>67483</v>
      </c>
      <c r="AD114" s="264" t="str">
        <f>VLOOKUP(B114,'Salary -Dec-2024 (Full)'!$B$6:$AE$383,29,0)</f>
        <v>Bank</v>
      </c>
      <c r="AE114" s="264" t="str">
        <f>VLOOKUP(B114,'Salary -Dec-2024 (Full)'!$B$6:$AE$383,30,0)</f>
        <v>135.151.0113365</v>
      </c>
      <c r="AG114" s="61"/>
      <c r="AH114" s="183"/>
      <c r="AI114" s="319"/>
    </row>
    <row r="115" spans="1:35" s="47" customFormat="1" ht="24" customHeight="1">
      <c r="A115" s="253">
        <v>9</v>
      </c>
      <c r="B115" s="254" t="s">
        <v>261</v>
      </c>
      <c r="C115" s="255" t="str">
        <f>VLOOKUP(B115,'Salary -Dec-2024 (Full)'!$B$6:$D$383,2,0)</f>
        <v>Md. Sultan Mahmud</v>
      </c>
      <c r="D115" s="342" t="str">
        <f>VLOOKUP(B115,'Salary -Dec-2024 (Full)'!$B$6:$D$383,3,0)</f>
        <v>AGM</v>
      </c>
      <c r="E115" s="343" t="str">
        <f>VLOOKUP(B115,'Salary -Dec-2024 (Full)'!$B$6:$AE$383,4,0)</f>
        <v>Int. sales (Tender)</v>
      </c>
      <c r="F115" s="477">
        <f>VLOOKUP(B115,'Salary -Dec-2024 (Full)'!$B$6:$AE$383,5,0)</f>
        <v>44343</v>
      </c>
      <c r="G115" s="257">
        <f>VLOOKUP(B115,'Salary -Dec-2024 (Full)'!$B$6:$AE$383,6,0)</f>
        <v>31</v>
      </c>
      <c r="H115" s="258">
        <f>VLOOKUP(B115,'Salary -Dec-2024 (Full)'!$B$6:$AE$383,7,0)</f>
        <v>0</v>
      </c>
      <c r="I115" s="257">
        <f t="shared" si="319"/>
        <v>31</v>
      </c>
      <c r="J115" s="258">
        <f t="shared" si="320"/>
        <v>2903.2258064516127</v>
      </c>
      <c r="K115" s="72">
        <f>VLOOKUP(B115,'Salary -Dec-2024 (Full)'!$B$6:$AE$383,10,0)</f>
        <v>90000</v>
      </c>
      <c r="L115" s="72">
        <f t="shared" si="321"/>
        <v>54000</v>
      </c>
      <c r="M115" s="72">
        <f t="shared" si="322"/>
        <v>27000</v>
      </c>
      <c r="N115" s="72">
        <f t="shared" si="323"/>
        <v>5400</v>
      </c>
      <c r="O115" s="72">
        <f t="shared" si="324"/>
        <v>3600</v>
      </c>
      <c r="P115" s="259"/>
      <c r="Q115" s="260">
        <f t="shared" si="325"/>
        <v>90000</v>
      </c>
      <c r="R115" s="188">
        <f>VLOOKUP(B115,'Salary -Dec-2024 (Full)'!$B$6:$AE$383,17,0)</f>
        <v>90000</v>
      </c>
      <c r="S115" s="192">
        <f>VLOOKUP(B115,'Salary -Dec-2024 (Full)'!$B$6:$AE$383,18,0)</f>
        <v>0</v>
      </c>
      <c r="T115" s="192">
        <f>VLOOKUP(B115,'Salary -Dec-2024 (Full)'!$B$6:$AE$383,19,0)</f>
        <v>0</v>
      </c>
      <c r="U115" s="337">
        <f>VLOOKUP(B115,'Salary -Dec-2024 (Full)'!$B$6:$AE$383,20,0)</f>
        <v>0</v>
      </c>
      <c r="V115" s="263">
        <f t="shared" si="326"/>
        <v>90000</v>
      </c>
      <c r="W115" s="192">
        <f>VLOOKUP(B115,'Salary -Dec-2024 (Full)'!$B$6:$AE$383,22,0)</f>
        <v>1287</v>
      </c>
      <c r="X115" s="192">
        <f>VLOOKUP(B115,'Salary -Dec-2024 (Full)'!$B$6:$AE$383,23,0)</f>
        <v>0</v>
      </c>
      <c r="Y115" s="337">
        <f>VLOOKUP(B115,'Salary -Dec-2024 (Full)'!$B$6:$AE$383,24,0)</f>
        <v>2700</v>
      </c>
      <c r="Z115" s="192">
        <f>VLOOKUP(B115,'Salary -Dec-2024 (Full)'!$B$6:$AE$383,25,0)</f>
        <v>0</v>
      </c>
      <c r="AA115" s="192">
        <f>VLOOKUP(B115,'Salary -Dec-2024 (Full)'!$B$6:$AE$383,26,0)</f>
        <v>0</v>
      </c>
      <c r="AB115" s="384">
        <f t="shared" si="327"/>
        <v>3987</v>
      </c>
      <c r="AC115" s="193">
        <f t="shared" si="328"/>
        <v>86013</v>
      </c>
      <c r="AD115" s="264" t="str">
        <f>VLOOKUP(B115,'Salary -Dec-2024 (Full)'!$B$6:$AE$383,29,0)</f>
        <v>Bank</v>
      </c>
      <c r="AE115" s="264" t="str">
        <f>VLOOKUP(B115,'Salary -Dec-2024 (Full)'!$B$6:$AE$383,30,0)</f>
        <v>103.103.1252565</v>
      </c>
      <c r="AG115" s="61"/>
      <c r="AH115" s="183"/>
      <c r="AI115" s="319"/>
    </row>
    <row r="116" spans="1:35" s="47" customFormat="1" ht="24" customHeight="1">
      <c r="A116" s="62">
        <v>10</v>
      </c>
      <c r="B116" s="254" t="s">
        <v>250</v>
      </c>
      <c r="C116" s="255" t="str">
        <f>VLOOKUP(B116,'Salary -Dec-2024 (Full)'!$B$6:$D$383,2,0)</f>
        <v>Md. Azharul Islam</v>
      </c>
      <c r="D116" s="342" t="str">
        <f>VLOOKUP(B116,'Salary -Dec-2024 (Full)'!$B$6:$D$383,3,0)</f>
        <v>STSO</v>
      </c>
      <c r="E116" s="343" t="str">
        <f>VLOOKUP(B116,'Salary -Dec-2024 (Full)'!$B$6:$AE$383,4,0)</f>
        <v>S&amp;M</v>
      </c>
      <c r="F116" s="477">
        <f>VLOOKUP(B116,'Salary -Dec-2024 (Full)'!$B$6:$AE$383,5,0)</f>
        <v>44467</v>
      </c>
      <c r="G116" s="257">
        <f>VLOOKUP(B116,'Salary -Dec-2024 (Full)'!$B$6:$AE$383,6,0)</f>
        <v>31</v>
      </c>
      <c r="H116" s="258">
        <f>VLOOKUP(B116,'Salary -Dec-2024 (Full)'!$B$6:$AE$383,7,0)</f>
        <v>0</v>
      </c>
      <c r="I116" s="257">
        <f t="shared" ref="I116:I117" si="339">G116-H116</f>
        <v>31</v>
      </c>
      <c r="J116" s="258">
        <f t="shared" ref="J116:J117" si="340">Q116/G116</f>
        <v>1387.0967741935483</v>
      </c>
      <c r="K116" s="72">
        <f>VLOOKUP(B116,'Salary -Dec-2024 (Full)'!$B$6:$AE$383,10,0)</f>
        <v>43000</v>
      </c>
      <c r="L116" s="72">
        <f t="shared" ref="L116:L117" si="341">K116*60%</f>
        <v>25800</v>
      </c>
      <c r="M116" s="72">
        <f t="shared" ref="M116:M117" si="342">K116*30%</f>
        <v>12900</v>
      </c>
      <c r="N116" s="72">
        <f t="shared" ref="N116:N117" si="343">K116*6%</f>
        <v>2580</v>
      </c>
      <c r="O116" s="72">
        <f t="shared" ref="O116:O117" si="344">K116*4%</f>
        <v>1720</v>
      </c>
      <c r="P116" s="259"/>
      <c r="Q116" s="260">
        <f t="shared" ref="Q116:Q117" si="345">SUM(L116:P116)</f>
        <v>43000</v>
      </c>
      <c r="R116" s="188">
        <f>VLOOKUP(B116,'Salary -Dec-2024 (Full)'!$B$6:$AE$383,17,0)</f>
        <v>43000</v>
      </c>
      <c r="S116" s="192">
        <f>VLOOKUP(B116,'Salary -Dec-2024 (Full)'!$B$6:$AE$383,18,0)</f>
        <v>0</v>
      </c>
      <c r="T116" s="192">
        <f>VLOOKUP(B116,'Salary -Dec-2024 (Full)'!$B$6:$AE$383,19,0)</f>
        <v>0</v>
      </c>
      <c r="U116" s="337">
        <f>VLOOKUP(B116,'Salary -Dec-2024 (Full)'!$B$6:$AE$383,20,0)</f>
        <v>0</v>
      </c>
      <c r="V116" s="263">
        <f t="shared" ref="V116:V117" si="346">SUM(R116:U116)</f>
        <v>43000</v>
      </c>
      <c r="W116" s="192">
        <f>VLOOKUP(B116,'Salary -Dec-2024 (Full)'!$B$6:$AE$383,22,0)</f>
        <v>417</v>
      </c>
      <c r="X116" s="192">
        <f>VLOOKUP(B116,'Salary -Dec-2024 (Full)'!$B$6:$AE$383,23,0)</f>
        <v>0</v>
      </c>
      <c r="Y116" s="337">
        <f>VLOOKUP(B116,'Salary -Dec-2024 (Full)'!$B$6:$AE$383,24,0)</f>
        <v>1290</v>
      </c>
      <c r="Z116" s="192">
        <f>VLOOKUP(B116,'Salary -Dec-2024 (Full)'!$B$6:$AE$383,25,0)</f>
        <v>0</v>
      </c>
      <c r="AA116" s="192">
        <f>VLOOKUP(B116,'Salary -Dec-2024 (Full)'!$B$6:$AE$383,26,0)</f>
        <v>0</v>
      </c>
      <c r="AB116" s="384">
        <f t="shared" ref="AB116:AB117" si="347">SUM(W116:AA116)</f>
        <v>1707</v>
      </c>
      <c r="AC116" s="193">
        <f t="shared" ref="AC116:AC117" si="348">ROUND(V116-AB116,0)</f>
        <v>41293</v>
      </c>
      <c r="AD116" s="264" t="str">
        <f>VLOOKUP(B116,'Salary -Dec-2024 (Full)'!$B$6:$AE$383,29,0)</f>
        <v>Bank</v>
      </c>
      <c r="AE116" s="264" t="str">
        <f>VLOOKUP(B116,'Salary -Dec-2024 (Full)'!$B$6:$AE$383,30,0)</f>
        <v>241.158.0013093</v>
      </c>
      <c r="AG116" s="61"/>
      <c r="AH116" s="183"/>
      <c r="AI116" s="319"/>
    </row>
    <row r="117" spans="1:35" s="47" customFormat="1" ht="24" customHeight="1">
      <c r="A117" s="253">
        <v>11</v>
      </c>
      <c r="B117" s="254" t="s">
        <v>296</v>
      </c>
      <c r="C117" s="255" t="str">
        <f>VLOOKUP(B117,'Salary -Dec-2024 (Full)'!$B$6:$D$383,2,0)</f>
        <v>Md. Atoar Rahman</v>
      </c>
      <c r="D117" s="342" t="str">
        <f>VLOOKUP(B117,'Salary -Dec-2024 (Full)'!$B$6:$D$383,3,0)</f>
        <v>DRM (Sales &amp; Recovery)</v>
      </c>
      <c r="E117" s="343" t="str">
        <f>VLOOKUP(B117,'Salary -Dec-2024 (Full)'!$B$6:$AE$383,4,0)</f>
        <v>CRRM</v>
      </c>
      <c r="F117" s="477">
        <f>VLOOKUP(B117,'Salary -Dec-2024 (Full)'!$B$6:$AE$383,5,0)</f>
        <v>44714</v>
      </c>
      <c r="G117" s="257">
        <f>VLOOKUP(B117,'Salary -Dec-2024 (Full)'!$B$6:$AE$383,6,0)</f>
        <v>31</v>
      </c>
      <c r="H117" s="258">
        <f>VLOOKUP(B117,'Salary -Dec-2024 (Full)'!$B$6:$AE$383,7,0)</f>
        <v>0</v>
      </c>
      <c r="I117" s="257">
        <f t="shared" si="339"/>
        <v>31</v>
      </c>
      <c r="J117" s="258">
        <f t="shared" si="340"/>
        <v>1538.7096774193549</v>
      </c>
      <c r="K117" s="72">
        <f>VLOOKUP(B117,'Salary -Dec-2024 (Full)'!$B$6:$AE$383,10,0)</f>
        <v>47700</v>
      </c>
      <c r="L117" s="72">
        <f t="shared" si="341"/>
        <v>28620</v>
      </c>
      <c r="M117" s="72">
        <f t="shared" si="342"/>
        <v>14310</v>
      </c>
      <c r="N117" s="72">
        <f t="shared" si="343"/>
        <v>2862</v>
      </c>
      <c r="O117" s="72">
        <f t="shared" si="344"/>
        <v>1908</v>
      </c>
      <c r="P117" s="259"/>
      <c r="Q117" s="260">
        <f t="shared" si="345"/>
        <v>47700</v>
      </c>
      <c r="R117" s="188">
        <f>VLOOKUP(B117,'Salary -Dec-2024 (Full)'!$B$6:$AE$383,17,0)</f>
        <v>47700</v>
      </c>
      <c r="S117" s="192">
        <f>VLOOKUP(B117,'Salary -Dec-2024 (Full)'!$B$6:$AE$383,18,0)</f>
        <v>0</v>
      </c>
      <c r="T117" s="192">
        <f>VLOOKUP(B117,'Salary -Dec-2024 (Full)'!$B$6:$AE$383,19,0)</f>
        <v>0</v>
      </c>
      <c r="U117" s="337">
        <f>VLOOKUP(B117,'Salary -Dec-2024 (Full)'!$B$6:$AE$383,20,0)</f>
        <v>0</v>
      </c>
      <c r="V117" s="263">
        <f t="shared" si="346"/>
        <v>47700</v>
      </c>
      <c r="W117" s="192">
        <f>VLOOKUP(B117,'Salary -Dec-2024 (Full)'!$B$6:$AE$383,22,0)</f>
        <v>417</v>
      </c>
      <c r="X117" s="192">
        <f>VLOOKUP(B117,'Salary -Dec-2024 (Full)'!$B$6:$AE$383,23,0)</f>
        <v>0</v>
      </c>
      <c r="Y117" s="337">
        <f>VLOOKUP(B117,'Salary -Dec-2024 (Full)'!$B$6:$AE$383,24,0)</f>
        <v>1431</v>
      </c>
      <c r="Z117" s="192">
        <f>VLOOKUP(B117,'Salary -Dec-2024 (Full)'!$B$6:$AE$383,25,0)</f>
        <v>0</v>
      </c>
      <c r="AA117" s="192">
        <f>VLOOKUP(B117,'Salary -Dec-2024 (Full)'!$B$6:$AE$383,26,0)</f>
        <v>0</v>
      </c>
      <c r="AB117" s="384">
        <f t="shared" si="347"/>
        <v>1848</v>
      </c>
      <c r="AC117" s="193">
        <f t="shared" si="348"/>
        <v>45852</v>
      </c>
      <c r="AD117" s="264" t="str">
        <f>VLOOKUP(B117,'Salary -Dec-2024 (Full)'!$B$6:$AE$383,29,0)</f>
        <v>Bank</v>
      </c>
      <c r="AE117" s="264" t="str">
        <f>VLOOKUP(B117,'Salary -Dec-2024 (Full)'!$B$6:$AE$383,30,0)</f>
        <v>172.158.0037187</v>
      </c>
      <c r="AG117" s="61"/>
      <c r="AH117" s="183"/>
      <c r="AI117" s="319"/>
    </row>
    <row r="118" spans="1:35" s="47" customFormat="1" ht="24" customHeight="1">
      <c r="A118" s="62">
        <v>12</v>
      </c>
      <c r="B118" s="254" t="s">
        <v>284</v>
      </c>
      <c r="C118" s="255" t="str">
        <f>VLOOKUP(B118,'Salary -Dec-2024 (Full)'!$B$6:$D$383,2,0)</f>
        <v>Jikrul Islam</v>
      </c>
      <c r="D118" s="342" t="str">
        <f>VLOOKUP(B118,'Salary -Dec-2024 (Full)'!$B$6:$D$383,3,0)</f>
        <v>TSO</v>
      </c>
      <c r="E118" s="343" t="str">
        <f>VLOOKUP(B118,'Salary -Dec-2024 (Full)'!$B$6:$AE$383,4,0)</f>
        <v>S&amp;M</v>
      </c>
      <c r="F118" s="477">
        <f>VLOOKUP(B118,'Salary -Dec-2024 (Full)'!$B$6:$AE$383,5,0)</f>
        <v>44880</v>
      </c>
      <c r="G118" s="257">
        <f>VLOOKUP(B118,'Salary -Dec-2024 (Full)'!$B$6:$AE$383,6,0)</f>
        <v>31</v>
      </c>
      <c r="H118" s="258">
        <f>VLOOKUP(B118,'Salary -Dec-2024 (Full)'!$B$6:$AE$383,7,0)</f>
        <v>2</v>
      </c>
      <c r="I118" s="257">
        <f t="shared" si="319"/>
        <v>29</v>
      </c>
      <c r="J118" s="258">
        <f t="shared" si="320"/>
        <v>693.54838709677415</v>
      </c>
      <c r="K118" s="72">
        <f>VLOOKUP(B118,'Salary -Dec-2024 (Full)'!$B$6:$AE$383,10,0)</f>
        <v>21500</v>
      </c>
      <c r="L118" s="72">
        <f t="shared" si="321"/>
        <v>12900</v>
      </c>
      <c r="M118" s="72">
        <f t="shared" si="322"/>
        <v>6450</v>
      </c>
      <c r="N118" s="72">
        <f t="shared" si="323"/>
        <v>1290</v>
      </c>
      <c r="O118" s="72">
        <f t="shared" si="324"/>
        <v>860</v>
      </c>
      <c r="P118" s="259"/>
      <c r="Q118" s="260">
        <f t="shared" si="325"/>
        <v>21500</v>
      </c>
      <c r="R118" s="188">
        <f>VLOOKUP(B118,'Salary -Dec-2024 (Full)'!$B$6:$AE$383,17,0)</f>
        <v>20113</v>
      </c>
      <c r="S118" s="192">
        <f>VLOOKUP(B118,'Salary -Dec-2024 (Full)'!$B$6:$AE$383,18,0)</f>
        <v>0</v>
      </c>
      <c r="T118" s="192">
        <f>VLOOKUP(B118,'Salary -Dec-2024 (Full)'!$B$6:$AE$383,19,0)</f>
        <v>0</v>
      </c>
      <c r="U118" s="337">
        <f>VLOOKUP(B118,'Salary -Dec-2024 (Full)'!$B$6:$AE$383,20,0)</f>
        <v>0</v>
      </c>
      <c r="V118" s="263">
        <f t="shared" si="326"/>
        <v>20113</v>
      </c>
      <c r="W118" s="192">
        <f>VLOOKUP(B118,'Salary -Dec-2024 (Full)'!$B$6:$AE$383,22,0)</f>
        <v>0</v>
      </c>
      <c r="X118" s="192">
        <f>VLOOKUP(B118,'Salary -Dec-2024 (Full)'!$B$6:$AE$383,23,0)</f>
        <v>0</v>
      </c>
      <c r="Y118" s="337">
        <f>VLOOKUP(B118,'Salary -Dec-2024 (Full)'!$B$6:$AE$383,24,0)</f>
        <v>645</v>
      </c>
      <c r="Z118" s="192">
        <f>VLOOKUP(B118,'Salary -Dec-2024 (Full)'!$B$6:$AE$383,25,0)</f>
        <v>0</v>
      </c>
      <c r="AA118" s="192">
        <f>VLOOKUP(B118,'Salary -Dec-2024 (Full)'!$B$6:$AE$383,26,0)</f>
        <v>0</v>
      </c>
      <c r="AB118" s="384">
        <f t="shared" si="327"/>
        <v>645</v>
      </c>
      <c r="AC118" s="193">
        <f t="shared" si="328"/>
        <v>19468</v>
      </c>
      <c r="AD118" s="264" t="str">
        <f>VLOOKUP(B118,'Salary -Dec-2024 (Full)'!$B$6:$AE$383,29,0)</f>
        <v>Bank</v>
      </c>
      <c r="AE118" s="264" t="str">
        <f>VLOOKUP(B118,'Salary -Dec-2024 (Full)'!$B$6:$AE$383,30,0)</f>
        <v>318.103.0003224</v>
      </c>
      <c r="AG118" s="61"/>
      <c r="AH118" s="183"/>
      <c r="AI118" s="319"/>
    </row>
    <row r="119" spans="1:35" s="47" customFormat="1" ht="24" customHeight="1">
      <c r="A119" s="253">
        <v>13</v>
      </c>
      <c r="B119" s="254" t="s">
        <v>1090</v>
      </c>
      <c r="C119" s="255" t="str">
        <f>VLOOKUP(B119,'Salary -Dec-2024 (Full)'!$B$6:$D$383,2,0)</f>
        <v>Md Jahid Hasan</v>
      </c>
      <c r="D119" s="342" t="str">
        <f>VLOOKUP(B119,'Salary -Dec-2024 (Full)'!$B$6:$D$383,3,0)</f>
        <v>Asst. Regional Manager</v>
      </c>
      <c r="E119" s="343" t="str">
        <f>VLOOKUP(B119,'Salary -Dec-2024 (Full)'!$B$6:$AE$383,4,0)</f>
        <v>S&amp;M</v>
      </c>
      <c r="F119" s="477">
        <f>VLOOKUP(B119,'Salary -Dec-2024 (Full)'!$B$6:$AE$383,5,0)</f>
        <v>45250</v>
      </c>
      <c r="G119" s="257">
        <f>VLOOKUP(B119,'Salary -Dec-2024 (Full)'!$B$6:$AE$383,6,0)</f>
        <v>31</v>
      </c>
      <c r="H119" s="258">
        <f>VLOOKUP(B119,'Salary -Dec-2024 (Full)'!$B$6:$AE$383,7,0)</f>
        <v>0</v>
      </c>
      <c r="I119" s="257">
        <f t="shared" si="319"/>
        <v>31</v>
      </c>
      <c r="J119" s="258">
        <f t="shared" si="320"/>
        <v>1451.6129032258063</v>
      </c>
      <c r="K119" s="72">
        <f>VLOOKUP(B119,'Salary -Dec-2024 (Full)'!$B$6:$AE$383,10,0)</f>
        <v>45000</v>
      </c>
      <c r="L119" s="72">
        <f t="shared" si="321"/>
        <v>27000</v>
      </c>
      <c r="M119" s="72">
        <f t="shared" si="322"/>
        <v>13500</v>
      </c>
      <c r="N119" s="72">
        <f t="shared" si="323"/>
        <v>2700</v>
      </c>
      <c r="O119" s="72">
        <f t="shared" si="324"/>
        <v>1800</v>
      </c>
      <c r="P119" s="259"/>
      <c r="Q119" s="260">
        <f t="shared" si="325"/>
        <v>45000</v>
      </c>
      <c r="R119" s="188">
        <f>VLOOKUP(B119,'Salary -Dec-2024 (Full)'!$B$6:$AE$383,17,0)</f>
        <v>45000</v>
      </c>
      <c r="S119" s="192">
        <f>VLOOKUP(B119,'Salary -Dec-2024 (Full)'!$B$6:$AE$383,18,0)</f>
        <v>0</v>
      </c>
      <c r="T119" s="192">
        <f>VLOOKUP(B119,'Salary -Dec-2024 (Full)'!$B$6:$AE$383,19,0)</f>
        <v>0</v>
      </c>
      <c r="U119" s="337">
        <f>VLOOKUP(B119,'Salary -Dec-2024 (Full)'!$B$6:$AE$383,20,0)</f>
        <v>0</v>
      </c>
      <c r="V119" s="263">
        <f t="shared" si="326"/>
        <v>45000</v>
      </c>
      <c r="W119" s="192">
        <f>VLOOKUP(B119,'Salary -Dec-2024 (Full)'!$B$6:$AE$383,22,0)</f>
        <v>417</v>
      </c>
      <c r="X119" s="192">
        <f>VLOOKUP(B119,'Salary -Dec-2024 (Full)'!$B$6:$AE$383,23,0)</f>
        <v>0</v>
      </c>
      <c r="Y119" s="337">
        <f>VLOOKUP(B119,'Salary -Dec-2024 (Full)'!$B$6:$AE$383,24,0)</f>
        <v>1350</v>
      </c>
      <c r="Z119" s="192">
        <f>VLOOKUP(B119,'Salary -Dec-2024 (Full)'!$B$6:$AE$383,25,0)</f>
        <v>2160</v>
      </c>
      <c r="AA119" s="192">
        <f>VLOOKUP(B119,'Salary -Dec-2024 (Full)'!$B$6:$AE$383,26,0)</f>
        <v>0</v>
      </c>
      <c r="AB119" s="384">
        <f t="shared" si="327"/>
        <v>3927</v>
      </c>
      <c r="AC119" s="193">
        <f t="shared" si="328"/>
        <v>41073</v>
      </c>
      <c r="AD119" s="264" t="str">
        <f>VLOOKUP(B119,'Salary -Dec-2024 (Full)'!$B$6:$AE$383,29,0)</f>
        <v>Bank</v>
      </c>
      <c r="AE119" s="264" t="str">
        <f>VLOOKUP(B119,'Salary -Dec-2024 (Full)'!$B$6:$AE$383,30,0)</f>
        <v>152.157.0015930</v>
      </c>
      <c r="AG119" s="61"/>
      <c r="AH119" s="183"/>
      <c r="AI119" s="319"/>
    </row>
    <row r="120" spans="1:35" s="47" customFormat="1" ht="24" customHeight="1">
      <c r="A120" s="62">
        <v>14</v>
      </c>
      <c r="B120" s="254" t="s">
        <v>276</v>
      </c>
      <c r="C120" s="255" t="str">
        <f>VLOOKUP(B120,'Salary -Dec-2024 (Full)'!$B$6:$D$383,2,0)</f>
        <v>Md. Moshiur Rahman</v>
      </c>
      <c r="D120" s="342" t="str">
        <f>VLOOKUP(B120,'Salary -Dec-2024 (Full)'!$B$6:$D$383,3,0)</f>
        <v>Rgional Manager</v>
      </c>
      <c r="E120" s="343" t="str">
        <f>VLOOKUP(B120,'Salary -Dec-2024 (Full)'!$B$6:$AE$383,4,0)</f>
        <v>S&amp;M</v>
      </c>
      <c r="F120" s="477">
        <f>VLOOKUP(B120,'Salary -Dec-2024 (Full)'!$B$6:$AE$383,5,0)</f>
        <v>44867</v>
      </c>
      <c r="G120" s="257">
        <f>VLOOKUP(B120,'Salary -Dec-2024 (Full)'!$B$6:$AE$383,6,0)</f>
        <v>31</v>
      </c>
      <c r="H120" s="258">
        <f>VLOOKUP(B120,'Salary -Dec-2024 (Full)'!$B$6:$AE$383,7,0)</f>
        <v>0</v>
      </c>
      <c r="I120" s="257">
        <f t="shared" ref="I120:I130" si="349">G120-H120</f>
        <v>31</v>
      </c>
      <c r="J120" s="258">
        <f t="shared" ref="J120:J130" si="350">Q120/G120</f>
        <v>2432.2580645161293</v>
      </c>
      <c r="K120" s="72">
        <f>VLOOKUP(B120,'Salary -Dec-2024 (Full)'!$B$6:$AE$383,10,0)</f>
        <v>75400</v>
      </c>
      <c r="L120" s="72">
        <f t="shared" ref="L120:L130" si="351">K120*60%</f>
        <v>45240</v>
      </c>
      <c r="M120" s="72">
        <f t="shared" ref="M120:M130" si="352">K120*30%</f>
        <v>22620</v>
      </c>
      <c r="N120" s="72">
        <f t="shared" ref="N120:N130" si="353">K120*6%</f>
        <v>4524</v>
      </c>
      <c r="O120" s="72">
        <f t="shared" ref="O120:O130" si="354">K120*4%</f>
        <v>3016</v>
      </c>
      <c r="P120" s="259"/>
      <c r="Q120" s="260">
        <f t="shared" ref="Q120:Q130" si="355">SUM(L120:P120)</f>
        <v>75400</v>
      </c>
      <c r="R120" s="188">
        <f>VLOOKUP(B120,'Salary -Dec-2024 (Full)'!$B$6:$AE$383,17,0)</f>
        <v>75400</v>
      </c>
      <c r="S120" s="192">
        <f>VLOOKUP(B120,'Salary -Dec-2024 (Full)'!$B$6:$AE$383,18,0)</f>
        <v>0</v>
      </c>
      <c r="T120" s="192">
        <f>VLOOKUP(B120,'Salary -Dec-2024 (Full)'!$B$6:$AE$383,19,0)</f>
        <v>0</v>
      </c>
      <c r="U120" s="337">
        <f>VLOOKUP(B120,'Salary -Dec-2024 (Full)'!$B$6:$AE$383,20,0)</f>
        <v>0</v>
      </c>
      <c r="V120" s="263">
        <f t="shared" ref="V120:V125" si="356">SUM(R120:U120)</f>
        <v>75400</v>
      </c>
      <c r="W120" s="192">
        <f>VLOOKUP(B120,'Salary -Dec-2024 (Full)'!$B$6:$AE$383,22,0)</f>
        <v>623</v>
      </c>
      <c r="X120" s="192">
        <f>VLOOKUP(B120,'Salary -Dec-2024 (Full)'!$B$6:$AE$383,23,0)</f>
        <v>0</v>
      </c>
      <c r="Y120" s="337">
        <f>VLOOKUP(B120,'Salary -Dec-2024 (Full)'!$B$6:$AE$383,24,0)</f>
        <v>2262</v>
      </c>
      <c r="Z120" s="192">
        <f>VLOOKUP(B120,'Salary -Dec-2024 (Full)'!$B$6:$AE$383,25,0)</f>
        <v>0</v>
      </c>
      <c r="AA120" s="192">
        <f>VLOOKUP(B120,'Salary -Dec-2024 (Full)'!$B$6:$AE$383,26,0)</f>
        <v>0</v>
      </c>
      <c r="AB120" s="384">
        <f t="shared" si="307"/>
        <v>2885</v>
      </c>
      <c r="AC120" s="193">
        <f t="shared" si="308"/>
        <v>72515</v>
      </c>
      <c r="AD120" s="264" t="str">
        <f>VLOOKUP(B120,'Salary -Dec-2024 (Full)'!$B$6:$AE$383,29,0)</f>
        <v>Bank</v>
      </c>
      <c r="AE120" s="264" t="str">
        <f>VLOOKUP(B120,'Salary -Dec-2024 (Full)'!$B$6:$AE$383,30,0)</f>
        <v>162.158.0069228</v>
      </c>
      <c r="AG120" s="61"/>
      <c r="AH120" s="183"/>
      <c r="AI120" s="319"/>
    </row>
    <row r="121" spans="1:35" s="61" customFormat="1" ht="24" customHeight="1">
      <c r="A121" s="253">
        <v>15</v>
      </c>
      <c r="B121" s="63" t="s">
        <v>270</v>
      </c>
      <c r="C121" s="255" t="str">
        <f>VLOOKUP(B121,'Salary -Dec-2024 (Full)'!$B$6:$D$383,2,0)</f>
        <v>Md. Shafiqul Islam</v>
      </c>
      <c r="D121" s="342" t="str">
        <f>VLOOKUP(B121,'Salary -Dec-2024 (Full)'!$B$6:$D$383,3,0)</f>
        <v>Sr. Territory Manager</v>
      </c>
      <c r="E121" s="343" t="str">
        <f>VLOOKUP(B121,'Salary -Dec-2024 (Full)'!$B$6:$AE$383,4,0)</f>
        <v>S&amp;M</v>
      </c>
      <c r="F121" s="477">
        <f>VLOOKUP(B121,'Salary -Dec-2024 (Full)'!$B$6:$AE$383,5,0)</f>
        <v>44849</v>
      </c>
      <c r="G121" s="257">
        <f>VLOOKUP(B121,'Salary -Dec-2024 (Full)'!$B$6:$AE$383,6,0)</f>
        <v>31</v>
      </c>
      <c r="H121" s="258">
        <f>VLOOKUP(B121,'Salary -Dec-2024 (Full)'!$B$6:$AE$383,7,0)</f>
        <v>0</v>
      </c>
      <c r="I121" s="66">
        <f t="shared" si="349"/>
        <v>31</v>
      </c>
      <c r="J121" s="67">
        <f t="shared" si="350"/>
        <v>1612.9032258064517</v>
      </c>
      <c r="K121" s="72">
        <f>VLOOKUP(B121,'Salary -Dec-2024 (Full)'!$B$6:$AE$383,10,0)</f>
        <v>50000</v>
      </c>
      <c r="L121" s="68">
        <f t="shared" si="351"/>
        <v>30000</v>
      </c>
      <c r="M121" s="68">
        <f t="shared" si="352"/>
        <v>15000</v>
      </c>
      <c r="N121" s="68">
        <f t="shared" si="353"/>
        <v>3000</v>
      </c>
      <c r="O121" s="68">
        <f t="shared" si="354"/>
        <v>2000</v>
      </c>
      <c r="P121" s="69"/>
      <c r="Q121" s="70">
        <f t="shared" si="355"/>
        <v>50000</v>
      </c>
      <c r="R121" s="188">
        <f>VLOOKUP(B121,'Salary -Dec-2024 (Full)'!$B$6:$AE$383,17,0)</f>
        <v>50000</v>
      </c>
      <c r="S121" s="192">
        <f>VLOOKUP(B121,'Salary -Dec-2024 (Full)'!$B$6:$AE$383,18,0)</f>
        <v>0</v>
      </c>
      <c r="T121" s="192">
        <f>VLOOKUP(B121,'Salary -Dec-2024 (Full)'!$B$6:$AE$383,19,0)</f>
        <v>0</v>
      </c>
      <c r="U121" s="337">
        <f>VLOOKUP(B121,'Salary -Dec-2024 (Full)'!$B$6:$AE$383,20,0)</f>
        <v>0</v>
      </c>
      <c r="V121" s="71">
        <f t="shared" si="356"/>
        <v>50000</v>
      </c>
      <c r="W121" s="192">
        <f>VLOOKUP(B121,'Salary -Dec-2024 (Full)'!$B$6:$AE$383,22,0)</f>
        <v>455</v>
      </c>
      <c r="X121" s="192">
        <f>VLOOKUP(B121,'Salary -Dec-2024 (Full)'!$B$6:$AE$383,23,0)</f>
        <v>0</v>
      </c>
      <c r="Y121" s="337">
        <f>VLOOKUP(B121,'Salary -Dec-2024 (Full)'!$B$6:$AE$383,24,0)</f>
        <v>1500</v>
      </c>
      <c r="Z121" s="192">
        <f>VLOOKUP(B121,'Salary -Dec-2024 (Full)'!$B$6:$AE$383,25,0)</f>
        <v>1058</v>
      </c>
      <c r="AA121" s="192">
        <f>VLOOKUP(B121,'Salary -Dec-2024 (Full)'!$B$6:$AE$383,26,0)</f>
        <v>0</v>
      </c>
      <c r="AB121" s="384">
        <f t="shared" ref="AB121:AB128" si="357">SUM(W121:AA121)</f>
        <v>3013</v>
      </c>
      <c r="AC121" s="193">
        <f t="shared" ref="AC121:AC128" si="358">ROUND(V121-AB121,0)</f>
        <v>46987</v>
      </c>
      <c r="AD121" s="264" t="str">
        <f>VLOOKUP(B121,'Salary -Dec-2024 (Full)'!$B$6:$AE$383,29,0)</f>
        <v>Bank</v>
      </c>
      <c r="AE121" s="264" t="str">
        <f>VLOOKUP(B121,'Salary -Dec-2024 (Full)'!$B$6:$AE$383,30,0)</f>
        <v>141.158.0028130</v>
      </c>
      <c r="AH121" s="183"/>
      <c r="AI121" s="320"/>
    </row>
    <row r="122" spans="1:35" s="47" customFormat="1" ht="24" customHeight="1">
      <c r="A122" s="62">
        <v>16</v>
      </c>
      <c r="B122" s="254" t="s">
        <v>287</v>
      </c>
      <c r="C122" s="255" t="str">
        <f>VLOOKUP(B122,'Salary -Dec-2024 (Full)'!$B$6:$D$383,2,0)</f>
        <v>Mizanur Rahman Mizan</v>
      </c>
      <c r="D122" s="342" t="str">
        <f>VLOOKUP(B122,'Salary -Dec-2024 (Full)'!$B$6:$D$383,3,0)</f>
        <v>TSO</v>
      </c>
      <c r="E122" s="343" t="str">
        <f>VLOOKUP(B122,'Salary -Dec-2024 (Full)'!$B$6:$AE$383,4,0)</f>
        <v>S&amp;M</v>
      </c>
      <c r="F122" s="477">
        <f>VLOOKUP(B122,'Salary -Dec-2024 (Full)'!$B$6:$AE$383,5,0)</f>
        <v>44880</v>
      </c>
      <c r="G122" s="257">
        <f>VLOOKUP(B122,'Salary -Dec-2024 (Full)'!$B$6:$AE$383,6,0)</f>
        <v>31</v>
      </c>
      <c r="H122" s="258">
        <f>VLOOKUP(B122,'Salary -Dec-2024 (Full)'!$B$6:$AE$383,7,0)</f>
        <v>0</v>
      </c>
      <c r="I122" s="257">
        <f t="shared" si="349"/>
        <v>31</v>
      </c>
      <c r="J122" s="258">
        <f t="shared" si="350"/>
        <v>725.80645161290317</v>
      </c>
      <c r="K122" s="72">
        <f>VLOOKUP(B122,'Salary -Dec-2024 (Full)'!$B$6:$AE$383,10,0)</f>
        <v>22500</v>
      </c>
      <c r="L122" s="68">
        <f t="shared" si="351"/>
        <v>13500</v>
      </c>
      <c r="M122" s="68">
        <f t="shared" si="352"/>
        <v>6750</v>
      </c>
      <c r="N122" s="68">
        <f t="shared" si="353"/>
        <v>1350</v>
      </c>
      <c r="O122" s="68">
        <f t="shared" si="354"/>
        <v>900</v>
      </c>
      <c r="P122" s="259"/>
      <c r="Q122" s="260">
        <f t="shared" si="355"/>
        <v>22500</v>
      </c>
      <c r="R122" s="188">
        <f>VLOOKUP(B122,'Salary -Dec-2024 (Full)'!$B$6:$AE$383,17,0)</f>
        <v>22500</v>
      </c>
      <c r="S122" s="192">
        <f>VLOOKUP(B122,'Salary -Dec-2024 (Full)'!$B$6:$AE$383,18,0)</f>
        <v>0</v>
      </c>
      <c r="T122" s="192">
        <f>VLOOKUP(B122,'Salary -Dec-2024 (Full)'!$B$6:$AE$383,19,0)</f>
        <v>0</v>
      </c>
      <c r="U122" s="337">
        <f>VLOOKUP(B122,'Salary -Dec-2024 (Full)'!$B$6:$AE$383,20,0)</f>
        <v>0</v>
      </c>
      <c r="V122" s="263">
        <f t="shared" si="356"/>
        <v>22500</v>
      </c>
      <c r="W122" s="192">
        <f>VLOOKUP(B122,'Salary -Dec-2024 (Full)'!$B$6:$AE$383,22,0)</f>
        <v>0</v>
      </c>
      <c r="X122" s="192">
        <f>VLOOKUP(B122,'Salary -Dec-2024 (Full)'!$B$6:$AE$383,23,0)</f>
        <v>0</v>
      </c>
      <c r="Y122" s="337">
        <f>VLOOKUP(B122,'Salary -Dec-2024 (Full)'!$B$6:$AE$383,24,0)</f>
        <v>675</v>
      </c>
      <c r="Z122" s="192">
        <f>VLOOKUP(B122,'Salary -Dec-2024 (Full)'!$B$6:$AE$383,25,0)</f>
        <v>1058</v>
      </c>
      <c r="AA122" s="192">
        <f>VLOOKUP(B122,'Salary -Dec-2024 (Full)'!$B$6:$AE$383,26,0)</f>
        <v>0</v>
      </c>
      <c r="AB122" s="384">
        <f t="shared" si="357"/>
        <v>1733</v>
      </c>
      <c r="AC122" s="193">
        <f t="shared" si="358"/>
        <v>20767</v>
      </c>
      <c r="AD122" s="264" t="str">
        <f>VLOOKUP(B122,'Salary -Dec-2024 (Full)'!$B$6:$AE$383,29,0)</f>
        <v>Bank</v>
      </c>
      <c r="AE122" s="264" t="str">
        <f>VLOOKUP(B122,'Salary -Dec-2024 (Full)'!$B$6:$AE$383,30,0)</f>
        <v>318.103.0003219</v>
      </c>
      <c r="AG122" s="61"/>
      <c r="AH122" s="183"/>
      <c r="AI122" s="320"/>
    </row>
    <row r="123" spans="1:35" s="47" customFormat="1" ht="24" customHeight="1">
      <c r="A123" s="253">
        <v>17</v>
      </c>
      <c r="B123" s="254" t="s">
        <v>550</v>
      </c>
      <c r="C123" s="341" t="str">
        <f>VLOOKUP(B123,'Salary -Dec-2024 (Full)'!$B$6:$D$383,2,0)</f>
        <v>Md. Shofiqul Islam</v>
      </c>
      <c r="D123" s="342" t="str">
        <f>VLOOKUP(B123,'Salary -Dec-2024 (Full)'!$B$6:$D$383,3,0)</f>
        <v>Asst. Territory Manager</v>
      </c>
      <c r="E123" s="343" t="str">
        <f>VLOOKUP(B123,'Salary -Dec-2024 (Full)'!$B$6:$AE$383,4,0)</f>
        <v>S&amp;M</v>
      </c>
      <c r="F123" s="477">
        <f>VLOOKUP(B123,'Salary -Dec-2024 (Full)'!$B$6:$AE$383,5,0)</f>
        <v>44964</v>
      </c>
      <c r="G123" s="257">
        <f>VLOOKUP(B123,'Salary -Dec-2024 (Full)'!$B$6:$AE$383,6,0)</f>
        <v>31</v>
      </c>
      <c r="H123" s="258">
        <f>VLOOKUP(B123,'Salary -Dec-2024 (Full)'!$B$6:$AE$383,7,0)</f>
        <v>0</v>
      </c>
      <c r="I123" s="257">
        <f t="shared" si="349"/>
        <v>31</v>
      </c>
      <c r="J123" s="258">
        <f t="shared" si="350"/>
        <v>1145.1612903225807</v>
      </c>
      <c r="K123" s="72">
        <f>VLOOKUP(B123,'Salary -Dec-2024 (Full)'!$B$6:$AE$383,10,0)</f>
        <v>35500</v>
      </c>
      <c r="L123" s="68">
        <f t="shared" si="351"/>
        <v>21300</v>
      </c>
      <c r="M123" s="68">
        <f t="shared" si="352"/>
        <v>10650</v>
      </c>
      <c r="N123" s="68">
        <f t="shared" si="353"/>
        <v>2130</v>
      </c>
      <c r="O123" s="68">
        <f t="shared" si="354"/>
        <v>1420</v>
      </c>
      <c r="P123" s="259"/>
      <c r="Q123" s="260">
        <f t="shared" si="355"/>
        <v>35500</v>
      </c>
      <c r="R123" s="188">
        <f>VLOOKUP(B123,'Salary -Dec-2024 (Full)'!$B$6:$AE$383,17,0)</f>
        <v>35500</v>
      </c>
      <c r="S123" s="192">
        <f>VLOOKUP(B123,'Salary -Dec-2024 (Full)'!$B$6:$AE$383,18,0)</f>
        <v>0</v>
      </c>
      <c r="T123" s="192">
        <f>VLOOKUP(B123,'Salary -Dec-2024 (Full)'!$B$6:$AE$383,19,0)</f>
        <v>0</v>
      </c>
      <c r="U123" s="337">
        <f>VLOOKUP(B123,'Salary -Dec-2024 (Full)'!$B$6:$AE$383,20,0)</f>
        <v>0</v>
      </c>
      <c r="V123" s="263">
        <f t="shared" si="356"/>
        <v>35500</v>
      </c>
      <c r="W123" s="192">
        <f>VLOOKUP(B123,'Salary -Dec-2024 (Full)'!$B$6:$AE$383,22,0)</f>
        <v>0</v>
      </c>
      <c r="X123" s="192">
        <f>VLOOKUP(B123,'Salary -Dec-2024 (Full)'!$B$6:$AE$383,23,0)</f>
        <v>0</v>
      </c>
      <c r="Y123" s="337">
        <f>VLOOKUP(B123,'Salary -Dec-2024 (Full)'!$B$6:$AE$383,24,0)</f>
        <v>1065</v>
      </c>
      <c r="Z123" s="192">
        <f>VLOOKUP(B123,'Salary -Dec-2024 (Full)'!$B$6:$AE$383,25,0)</f>
        <v>6236</v>
      </c>
      <c r="AA123" s="192">
        <f>VLOOKUP(B123,'Salary -Dec-2024 (Full)'!$B$6:$AE$383,26,0)</f>
        <v>0</v>
      </c>
      <c r="AB123" s="384">
        <f t="shared" si="357"/>
        <v>7301</v>
      </c>
      <c r="AC123" s="193">
        <f t="shared" si="358"/>
        <v>28199</v>
      </c>
      <c r="AD123" s="264" t="str">
        <f>VLOOKUP(B123,'Salary -Dec-2024 (Full)'!$B$6:$AE$383,29,0)</f>
        <v>Bank</v>
      </c>
      <c r="AE123" s="264" t="str">
        <f>VLOOKUP(B123,'Salary -Dec-2024 (Full)'!$B$6:$AE$383,30,0)</f>
        <v>219.151.0119185</v>
      </c>
      <c r="AG123" s="61"/>
      <c r="AH123" s="183"/>
      <c r="AI123" s="320"/>
    </row>
    <row r="124" spans="1:35" s="47" customFormat="1" ht="24" customHeight="1">
      <c r="A124" s="62">
        <v>18</v>
      </c>
      <c r="B124" s="254" t="s">
        <v>553</v>
      </c>
      <c r="C124" s="341" t="str">
        <f>VLOOKUP(B124,'Salary -Dec-2024 (Full)'!$B$6:$D$383,2,0)</f>
        <v>Md. Maznur Rahman</v>
      </c>
      <c r="D124" s="342" t="str">
        <f>VLOOKUP(B124,'Salary -Dec-2024 (Full)'!$B$6:$D$383,3,0)</f>
        <v>Regional Manager</v>
      </c>
      <c r="E124" s="343" t="str">
        <f>VLOOKUP(B124,'Salary -Dec-2024 (Full)'!$B$6:$AE$383,4,0)</f>
        <v>S&amp;M</v>
      </c>
      <c r="F124" s="477">
        <f>VLOOKUP(B124,'Salary -Dec-2024 (Full)'!$B$6:$AE$383,5,0)</f>
        <v>44964</v>
      </c>
      <c r="G124" s="257">
        <f>VLOOKUP(B124,'Salary -Dec-2024 (Full)'!$B$6:$AE$383,6,0)</f>
        <v>31</v>
      </c>
      <c r="H124" s="258">
        <f>VLOOKUP(B124,'Salary -Dec-2024 (Full)'!$B$6:$AE$383,7,0)</f>
        <v>0</v>
      </c>
      <c r="I124" s="257">
        <f t="shared" si="349"/>
        <v>31</v>
      </c>
      <c r="J124" s="258">
        <f t="shared" si="350"/>
        <v>1790.3225806451612</v>
      </c>
      <c r="K124" s="72">
        <f>VLOOKUP(B124,'Salary -Dec-2024 (Full)'!$B$6:$AE$383,10,0)</f>
        <v>55500</v>
      </c>
      <c r="L124" s="68">
        <f t="shared" si="351"/>
        <v>33300</v>
      </c>
      <c r="M124" s="68">
        <f t="shared" si="352"/>
        <v>16650</v>
      </c>
      <c r="N124" s="68">
        <f t="shared" si="353"/>
        <v>3330</v>
      </c>
      <c r="O124" s="68">
        <f t="shared" si="354"/>
        <v>2220</v>
      </c>
      <c r="P124" s="259"/>
      <c r="Q124" s="260">
        <f t="shared" si="355"/>
        <v>55500</v>
      </c>
      <c r="R124" s="188">
        <f>VLOOKUP(B124,'Salary -Dec-2024 (Full)'!$B$6:$AE$383,17,0)</f>
        <v>55500</v>
      </c>
      <c r="S124" s="192">
        <f>VLOOKUP(B124,'Salary -Dec-2024 (Full)'!$B$6:$AE$383,18,0)</f>
        <v>0</v>
      </c>
      <c r="T124" s="192">
        <f>VLOOKUP(B124,'Salary -Dec-2024 (Full)'!$B$6:$AE$383,19,0)</f>
        <v>0</v>
      </c>
      <c r="U124" s="337">
        <f>VLOOKUP(B124,'Salary -Dec-2024 (Full)'!$B$6:$AE$383,20,0)</f>
        <v>0</v>
      </c>
      <c r="V124" s="263">
        <f t="shared" si="356"/>
        <v>55500</v>
      </c>
      <c r="W124" s="192">
        <f>VLOOKUP(B124,'Salary -Dec-2024 (Full)'!$B$6:$AE$383,22,0)</f>
        <v>417</v>
      </c>
      <c r="X124" s="192">
        <f>VLOOKUP(B124,'Salary -Dec-2024 (Full)'!$B$6:$AE$383,23,0)</f>
        <v>0</v>
      </c>
      <c r="Y124" s="337">
        <f>VLOOKUP(B124,'Salary -Dec-2024 (Full)'!$B$6:$AE$383,24,0)</f>
        <v>1665</v>
      </c>
      <c r="Z124" s="192">
        <f>VLOOKUP(B124,'Salary -Dec-2024 (Full)'!$B$6:$AE$383,25,0)</f>
        <v>0</v>
      </c>
      <c r="AA124" s="192">
        <f>VLOOKUP(B124,'Salary -Dec-2024 (Full)'!$B$6:$AE$383,26,0)</f>
        <v>0</v>
      </c>
      <c r="AB124" s="384">
        <f t="shared" si="357"/>
        <v>2082</v>
      </c>
      <c r="AC124" s="193">
        <f t="shared" si="358"/>
        <v>53418</v>
      </c>
      <c r="AD124" s="264" t="str">
        <f>VLOOKUP(B124,'Salary -Dec-2024 (Full)'!$B$6:$AE$383,29,0)</f>
        <v>Bank</v>
      </c>
      <c r="AE124" s="264" t="str">
        <f>VLOOKUP(B124,'Salary -Dec-2024 (Full)'!$B$6:$AE$383,30,0)</f>
        <v>163.157.0014868</v>
      </c>
      <c r="AG124" s="61"/>
      <c r="AH124" s="183"/>
      <c r="AI124" s="320"/>
    </row>
    <row r="125" spans="1:35" s="47" customFormat="1" ht="24" customHeight="1">
      <c r="A125" s="253">
        <v>19</v>
      </c>
      <c r="B125" s="254" t="s">
        <v>556</v>
      </c>
      <c r="C125" s="341" t="str">
        <f>VLOOKUP(B125,'Salary -Dec-2024 (Full)'!$B$6:$D$383,2,0)</f>
        <v>Dilip Kumar Barmon</v>
      </c>
      <c r="D125" s="342" t="str">
        <f>VLOOKUP(B125,'Salary -Dec-2024 (Full)'!$B$6:$D$383,3,0)</f>
        <v>STSO</v>
      </c>
      <c r="E125" s="343" t="str">
        <f>VLOOKUP(B125,'Salary -Dec-2024 (Full)'!$B$6:$AE$383,4,0)</f>
        <v>S&amp;M</v>
      </c>
      <c r="F125" s="477">
        <f>VLOOKUP(B125,'Salary -Dec-2024 (Full)'!$B$6:$AE$383,5,0)</f>
        <v>44965</v>
      </c>
      <c r="G125" s="257">
        <f>VLOOKUP(B125,'Salary -Dec-2024 (Full)'!$B$6:$AE$383,6,0)</f>
        <v>31</v>
      </c>
      <c r="H125" s="258">
        <f>VLOOKUP(B125,'Salary -Dec-2024 (Full)'!$B$6:$AE$383,7,0)</f>
        <v>0</v>
      </c>
      <c r="I125" s="257">
        <f t="shared" si="349"/>
        <v>31</v>
      </c>
      <c r="J125" s="258">
        <f t="shared" si="350"/>
        <v>1038.7096774193549</v>
      </c>
      <c r="K125" s="72">
        <f>VLOOKUP(B125,'Salary -Dec-2024 (Full)'!$B$6:$AE$383,10,0)</f>
        <v>32200</v>
      </c>
      <c r="L125" s="68">
        <f t="shared" si="351"/>
        <v>19320</v>
      </c>
      <c r="M125" s="68">
        <f t="shared" si="352"/>
        <v>9660</v>
      </c>
      <c r="N125" s="68">
        <f t="shared" si="353"/>
        <v>1932</v>
      </c>
      <c r="O125" s="68">
        <f t="shared" si="354"/>
        <v>1288</v>
      </c>
      <c r="P125" s="259"/>
      <c r="Q125" s="260">
        <f t="shared" si="355"/>
        <v>32200</v>
      </c>
      <c r="R125" s="188">
        <f>VLOOKUP(B125,'Salary -Dec-2024 (Full)'!$B$6:$AE$383,17,0)</f>
        <v>32200</v>
      </c>
      <c r="S125" s="192">
        <f>VLOOKUP(B125,'Salary -Dec-2024 (Full)'!$B$6:$AE$383,18,0)</f>
        <v>0</v>
      </c>
      <c r="T125" s="192">
        <f>VLOOKUP(B125,'Salary -Dec-2024 (Full)'!$B$6:$AE$383,19,0)</f>
        <v>0</v>
      </c>
      <c r="U125" s="337">
        <f>VLOOKUP(B125,'Salary -Dec-2024 (Full)'!$B$6:$AE$383,20,0)</f>
        <v>0</v>
      </c>
      <c r="V125" s="263">
        <f t="shared" si="356"/>
        <v>32200</v>
      </c>
      <c r="W125" s="192">
        <f>VLOOKUP(B125,'Salary -Dec-2024 (Full)'!$B$6:$AE$383,22,0)</f>
        <v>0</v>
      </c>
      <c r="X125" s="192">
        <f>VLOOKUP(B125,'Salary -Dec-2024 (Full)'!$B$6:$AE$383,23,0)</f>
        <v>0</v>
      </c>
      <c r="Y125" s="337">
        <f>VLOOKUP(B125,'Salary -Dec-2024 (Full)'!$B$6:$AE$383,24,0)</f>
        <v>966</v>
      </c>
      <c r="Z125" s="192">
        <f>VLOOKUP(B125,'Salary -Dec-2024 (Full)'!$B$6:$AE$383,25,0)</f>
        <v>842</v>
      </c>
      <c r="AA125" s="192">
        <f>VLOOKUP(B125,'Salary -Dec-2024 (Full)'!$B$6:$AE$383,26,0)</f>
        <v>0</v>
      </c>
      <c r="AB125" s="384">
        <f t="shared" si="357"/>
        <v>1808</v>
      </c>
      <c r="AC125" s="193">
        <f t="shared" si="358"/>
        <v>30392</v>
      </c>
      <c r="AD125" s="264" t="str">
        <f>VLOOKUP(B125,'Salary -Dec-2024 (Full)'!$B$6:$AE$383,29,0)</f>
        <v>Bank</v>
      </c>
      <c r="AE125" s="264" t="str">
        <f>VLOOKUP(B125,'Salary -Dec-2024 (Full)'!$B$6:$AE$383,30,0)</f>
        <v>302.158.0031497</v>
      </c>
      <c r="AG125" s="61"/>
      <c r="AH125" s="183"/>
      <c r="AI125" s="320"/>
    </row>
    <row r="126" spans="1:35" s="47" customFormat="1" ht="24" customHeight="1">
      <c r="A126" s="62">
        <v>20</v>
      </c>
      <c r="B126" s="254" t="s">
        <v>591</v>
      </c>
      <c r="C126" s="341" t="str">
        <f>VLOOKUP(B126,'Salary -Dec-2024 (Full)'!$B$6:$D$383,2,0)</f>
        <v>Sohid Ali</v>
      </c>
      <c r="D126" s="342" t="str">
        <f>VLOOKUP(B126,'Salary -Dec-2024 (Full)'!$B$6:$D$383,3,0)</f>
        <v>ATSO</v>
      </c>
      <c r="E126" s="343" t="str">
        <f>VLOOKUP(B126,'Salary -Dec-2024 (Full)'!$B$6:$AE$383,4,0)</f>
        <v>S&amp;M</v>
      </c>
      <c r="F126" s="477">
        <f>VLOOKUP(B126,'Salary -Dec-2024 (Full)'!$B$6:$AE$383,5,0)</f>
        <v>44986</v>
      </c>
      <c r="G126" s="257">
        <f>VLOOKUP(B126,'Salary -Dec-2024 (Full)'!$B$6:$AE$383,6,0)</f>
        <v>31</v>
      </c>
      <c r="H126" s="258">
        <f>VLOOKUP(B126,'Salary -Dec-2024 (Full)'!$B$6:$AE$383,7,0)</f>
        <v>0</v>
      </c>
      <c r="I126" s="257">
        <f t="shared" si="349"/>
        <v>31</v>
      </c>
      <c r="J126" s="258">
        <f t="shared" si="350"/>
        <v>754.83870967741939</v>
      </c>
      <c r="K126" s="72">
        <f>VLOOKUP(B126,'Salary -Dec-2024 (Full)'!$B$6:$AE$383,10,0)</f>
        <v>23400</v>
      </c>
      <c r="L126" s="68">
        <f t="shared" si="351"/>
        <v>14040</v>
      </c>
      <c r="M126" s="68">
        <f t="shared" si="352"/>
        <v>7020</v>
      </c>
      <c r="N126" s="68">
        <f t="shared" si="353"/>
        <v>1404</v>
      </c>
      <c r="O126" s="68">
        <f t="shared" si="354"/>
        <v>936</v>
      </c>
      <c r="P126" s="259"/>
      <c r="Q126" s="260">
        <f t="shared" si="355"/>
        <v>23400</v>
      </c>
      <c r="R126" s="188">
        <f>VLOOKUP(B126,'Salary -Dec-2024 (Full)'!$B$6:$AE$383,17,0)</f>
        <v>23400</v>
      </c>
      <c r="S126" s="192">
        <f>VLOOKUP(B126,'Salary -Dec-2024 (Full)'!$B$6:$AE$383,18,0)</f>
        <v>0</v>
      </c>
      <c r="T126" s="192">
        <f>VLOOKUP(B126,'Salary -Dec-2024 (Full)'!$B$6:$AE$383,19,0)</f>
        <v>0</v>
      </c>
      <c r="U126" s="337">
        <f>VLOOKUP(B126,'Salary -Dec-2024 (Full)'!$B$6:$AE$383,20,0)</f>
        <v>0</v>
      </c>
      <c r="V126" s="263">
        <f t="shared" ref="V126:V128" si="359">SUM(R126:U126)</f>
        <v>23400</v>
      </c>
      <c r="W126" s="192">
        <f>VLOOKUP(B126,'Salary -Dec-2024 (Full)'!$B$6:$AE$383,22,0)</f>
        <v>0</v>
      </c>
      <c r="X126" s="192">
        <f>VLOOKUP(B126,'Salary -Dec-2024 (Full)'!$B$6:$AE$383,23,0)</f>
        <v>0</v>
      </c>
      <c r="Y126" s="337">
        <f>VLOOKUP(B126,'Salary -Dec-2024 (Full)'!$B$6:$AE$383,24,0)</f>
        <v>702</v>
      </c>
      <c r="Z126" s="192">
        <f>VLOOKUP(B126,'Salary -Dec-2024 (Full)'!$B$6:$AE$383,25,0)</f>
        <v>2160</v>
      </c>
      <c r="AA126" s="192">
        <f>VLOOKUP(B126,'Salary -Dec-2024 (Full)'!$B$6:$AE$383,26,0)</f>
        <v>0</v>
      </c>
      <c r="AB126" s="384">
        <f t="shared" si="357"/>
        <v>2862</v>
      </c>
      <c r="AC126" s="193">
        <f t="shared" si="358"/>
        <v>20538</v>
      </c>
      <c r="AD126" s="264" t="str">
        <f>VLOOKUP(B126,'Salary -Dec-2024 (Full)'!$B$6:$AE$383,29,0)</f>
        <v>Bank</v>
      </c>
      <c r="AE126" s="264" t="str">
        <f>VLOOKUP(B126,'Salary -Dec-2024 (Full)'!$B$6:$AE$383,30,0)</f>
        <v>219.158.0030624</v>
      </c>
      <c r="AG126" s="61"/>
      <c r="AH126" s="183"/>
      <c r="AI126" s="320"/>
    </row>
    <row r="127" spans="1:35" s="47" customFormat="1" ht="24" customHeight="1">
      <c r="A127" s="253">
        <v>21</v>
      </c>
      <c r="B127" s="254" t="s">
        <v>593</v>
      </c>
      <c r="C127" s="341" t="str">
        <f>VLOOKUP(B127,'Salary -Dec-2024 (Full)'!$B$6:$D$383,2,0)</f>
        <v>Syed Zamiul Haque</v>
      </c>
      <c r="D127" s="342" t="str">
        <f>VLOOKUP(B127,'Salary -Dec-2024 (Full)'!$B$6:$D$383,3,0)</f>
        <v>TSO</v>
      </c>
      <c r="E127" s="343" t="str">
        <f>VLOOKUP(B127,'Salary -Dec-2024 (Full)'!$B$6:$AE$383,4,0)</f>
        <v>S&amp;M</v>
      </c>
      <c r="F127" s="477">
        <f>VLOOKUP(B127,'Salary -Dec-2024 (Full)'!$B$6:$AE$383,5,0)</f>
        <v>44986</v>
      </c>
      <c r="G127" s="257">
        <f>VLOOKUP(B127,'Salary -Dec-2024 (Full)'!$B$6:$AE$383,6,0)</f>
        <v>31</v>
      </c>
      <c r="H127" s="258">
        <f>VLOOKUP(B127,'Salary -Dec-2024 (Full)'!$B$6:$AE$383,7,0)</f>
        <v>0</v>
      </c>
      <c r="I127" s="257">
        <f t="shared" si="349"/>
        <v>31</v>
      </c>
      <c r="J127" s="258">
        <f t="shared" si="350"/>
        <v>709.67741935483866</v>
      </c>
      <c r="K127" s="72">
        <f>VLOOKUP(B127,'Salary -Dec-2024 (Full)'!$B$6:$AE$383,10,0)</f>
        <v>22000</v>
      </c>
      <c r="L127" s="68">
        <f t="shared" si="351"/>
        <v>13200</v>
      </c>
      <c r="M127" s="68">
        <f t="shared" si="352"/>
        <v>6600</v>
      </c>
      <c r="N127" s="68">
        <f t="shared" si="353"/>
        <v>1320</v>
      </c>
      <c r="O127" s="68">
        <f t="shared" si="354"/>
        <v>880</v>
      </c>
      <c r="P127" s="259"/>
      <c r="Q127" s="260">
        <f t="shared" si="355"/>
        <v>22000</v>
      </c>
      <c r="R127" s="188">
        <f>VLOOKUP(B127,'Salary -Dec-2024 (Full)'!$B$6:$AE$383,17,0)</f>
        <v>22000</v>
      </c>
      <c r="S127" s="192">
        <f>VLOOKUP(B127,'Salary -Dec-2024 (Full)'!$B$6:$AE$383,18,0)</f>
        <v>0</v>
      </c>
      <c r="T127" s="192">
        <f>VLOOKUP(B127,'Salary -Dec-2024 (Full)'!$B$6:$AE$383,19,0)</f>
        <v>0</v>
      </c>
      <c r="U127" s="337">
        <f>VLOOKUP(B127,'Salary -Dec-2024 (Full)'!$B$6:$AE$383,20,0)</f>
        <v>0</v>
      </c>
      <c r="V127" s="263">
        <f t="shared" si="359"/>
        <v>22000</v>
      </c>
      <c r="W127" s="192">
        <f>VLOOKUP(B127,'Salary -Dec-2024 (Full)'!$B$6:$AE$383,22,0)</f>
        <v>0</v>
      </c>
      <c r="X127" s="192">
        <f>VLOOKUP(B127,'Salary -Dec-2024 (Full)'!$B$6:$AE$383,23,0)</f>
        <v>0</v>
      </c>
      <c r="Y127" s="337">
        <f>VLOOKUP(B127,'Salary -Dec-2024 (Full)'!$B$6:$AE$383,24,0)</f>
        <v>660</v>
      </c>
      <c r="Z127" s="192">
        <f>VLOOKUP(B127,'Salary -Dec-2024 (Full)'!$B$6:$AE$383,25,0)</f>
        <v>0</v>
      </c>
      <c r="AA127" s="192">
        <f>VLOOKUP(B127,'Salary -Dec-2024 (Full)'!$B$6:$AE$383,26,0)</f>
        <v>0</v>
      </c>
      <c r="AB127" s="384">
        <f t="shared" si="357"/>
        <v>660</v>
      </c>
      <c r="AC127" s="193">
        <f t="shared" si="358"/>
        <v>21340</v>
      </c>
      <c r="AD127" s="264" t="str">
        <f>VLOOKUP(B127,'Salary -Dec-2024 (Full)'!$B$6:$AE$383,29,0)</f>
        <v>Bank</v>
      </c>
      <c r="AE127" s="264" t="str">
        <f>VLOOKUP(B127,'Salary -Dec-2024 (Full)'!$B$6:$AE$383,30,0)</f>
        <v>242.158.0043602</v>
      </c>
      <c r="AG127" s="61"/>
      <c r="AH127" s="183"/>
      <c r="AI127" s="320"/>
    </row>
    <row r="128" spans="1:35" s="47" customFormat="1" ht="24" customHeight="1">
      <c r="A128" s="62">
        <v>22</v>
      </c>
      <c r="B128" s="254" t="s">
        <v>619</v>
      </c>
      <c r="C128" s="341" t="str">
        <f>VLOOKUP(B128,'Salary -Dec-2024 (Full)'!$B$6:$D$383,2,0)</f>
        <v>Md Shahjahan Ali</v>
      </c>
      <c r="D128" s="342" t="str">
        <f>VLOOKUP(B128,'Salary -Dec-2024 (Full)'!$B$6:$D$383,3,0)</f>
        <v>Sr. Territory Sales officer</v>
      </c>
      <c r="E128" s="343" t="str">
        <f>VLOOKUP(B128,'Salary -Dec-2024 (Full)'!$B$6:$AE$383,4,0)</f>
        <v>S&amp;M</v>
      </c>
      <c r="F128" s="477">
        <f>VLOOKUP(B128,'Salary -Dec-2024 (Full)'!$B$6:$AE$383,5,0)</f>
        <v>45042</v>
      </c>
      <c r="G128" s="257">
        <f>VLOOKUP(B128,'Salary -Dec-2024 (Full)'!$B$6:$AE$383,6,0)</f>
        <v>31</v>
      </c>
      <c r="H128" s="258">
        <f>VLOOKUP(B128,'Salary -Dec-2024 (Full)'!$B$6:$AE$383,7,0)</f>
        <v>0</v>
      </c>
      <c r="I128" s="257">
        <f t="shared" si="349"/>
        <v>31</v>
      </c>
      <c r="J128" s="258">
        <f t="shared" si="350"/>
        <v>893.54838709677415</v>
      </c>
      <c r="K128" s="72">
        <f>VLOOKUP(B128,'Salary -Dec-2024 (Full)'!$B$6:$AE$383,10,0)</f>
        <v>27700</v>
      </c>
      <c r="L128" s="68">
        <f t="shared" si="351"/>
        <v>16620</v>
      </c>
      <c r="M128" s="68">
        <f t="shared" si="352"/>
        <v>8310</v>
      </c>
      <c r="N128" s="68">
        <f t="shared" si="353"/>
        <v>1662</v>
      </c>
      <c r="O128" s="68">
        <f t="shared" si="354"/>
        <v>1108</v>
      </c>
      <c r="P128" s="259"/>
      <c r="Q128" s="260">
        <f t="shared" si="355"/>
        <v>27700</v>
      </c>
      <c r="R128" s="188">
        <f>VLOOKUP(B128,'Salary -Dec-2024 (Full)'!$B$6:$AE$383,17,0)</f>
        <v>27700</v>
      </c>
      <c r="S128" s="192">
        <f>VLOOKUP(B128,'Salary -Dec-2024 (Full)'!$B$6:$AE$383,18,0)</f>
        <v>0</v>
      </c>
      <c r="T128" s="192">
        <f>VLOOKUP(B128,'Salary -Dec-2024 (Full)'!$B$6:$AE$383,19,0)</f>
        <v>0</v>
      </c>
      <c r="U128" s="337">
        <f>VLOOKUP(B128,'Salary -Dec-2024 (Full)'!$B$6:$AE$383,20,0)</f>
        <v>0</v>
      </c>
      <c r="V128" s="263">
        <f t="shared" si="359"/>
        <v>27700</v>
      </c>
      <c r="W128" s="192">
        <f>VLOOKUP(B128,'Salary -Dec-2024 (Full)'!$B$6:$AE$383,22,0)</f>
        <v>0</v>
      </c>
      <c r="X128" s="192">
        <f>VLOOKUP(B128,'Salary -Dec-2024 (Full)'!$B$6:$AE$383,23,0)</f>
        <v>0</v>
      </c>
      <c r="Y128" s="337">
        <f>VLOOKUP(B128,'Salary -Dec-2024 (Full)'!$B$6:$AE$383,24,0)</f>
        <v>831</v>
      </c>
      <c r="Z128" s="192">
        <f>VLOOKUP(B128,'Salary -Dec-2024 (Full)'!$B$6:$AE$383,25,0)</f>
        <v>0</v>
      </c>
      <c r="AA128" s="192">
        <f>VLOOKUP(B128,'Salary -Dec-2024 (Full)'!$B$6:$AE$383,26,0)</f>
        <v>0</v>
      </c>
      <c r="AB128" s="384">
        <f t="shared" si="357"/>
        <v>831</v>
      </c>
      <c r="AC128" s="193">
        <f t="shared" si="358"/>
        <v>26869</v>
      </c>
      <c r="AD128" s="264" t="str">
        <f>VLOOKUP(B128,'Salary -Dec-2024 (Full)'!$B$6:$AE$383,29,0)</f>
        <v>Bank</v>
      </c>
      <c r="AE128" s="264" t="str">
        <f>VLOOKUP(B128,'Salary -Dec-2024 (Full)'!$B$6:$AE$383,30,0)</f>
        <v>175.158.0044155</v>
      </c>
      <c r="AG128" s="61"/>
      <c r="AH128" s="183"/>
      <c r="AI128" s="320"/>
    </row>
    <row r="129" spans="1:35" s="47" customFormat="1" ht="24" customHeight="1">
      <c r="A129" s="253">
        <v>23</v>
      </c>
      <c r="B129" s="254" t="s">
        <v>639</v>
      </c>
      <c r="C129" s="341" t="str">
        <f>VLOOKUP(B129,'Salary -Dec-2024 (Full)'!$B$6:$D$383,2,0)</f>
        <v>Md. Shariful Islam</v>
      </c>
      <c r="D129" s="342" t="str">
        <f>VLOOKUP(B129,'Salary -Dec-2024 (Full)'!$B$6:$D$383,3,0)</f>
        <v>STSO</v>
      </c>
      <c r="E129" s="343" t="str">
        <f>VLOOKUP(B129,'Salary -Dec-2024 (Full)'!$B$6:$AE$383,4,0)</f>
        <v>S&amp;M</v>
      </c>
      <c r="F129" s="477">
        <f>VLOOKUP(B129,'Salary -Dec-2024 (Full)'!$B$6:$AE$383,5,0)</f>
        <v>45048</v>
      </c>
      <c r="G129" s="257">
        <f>VLOOKUP(B129,'Salary -Dec-2024 (Full)'!$B$6:$AE$383,6,0)</f>
        <v>31</v>
      </c>
      <c r="H129" s="258">
        <f>VLOOKUP(B129,'Salary -Dec-2024 (Full)'!$B$6:$AE$383,7,0)</f>
        <v>0</v>
      </c>
      <c r="I129" s="257">
        <f t="shared" si="349"/>
        <v>31</v>
      </c>
      <c r="J129" s="258">
        <f t="shared" si="350"/>
        <v>838.70967741935488</v>
      </c>
      <c r="K129" s="72">
        <f>VLOOKUP(B129,'Salary -Dec-2024 (Full)'!$B$6:$AE$383,10,0)</f>
        <v>26000</v>
      </c>
      <c r="L129" s="68">
        <f t="shared" si="351"/>
        <v>15600</v>
      </c>
      <c r="M129" s="68">
        <f t="shared" si="352"/>
        <v>7800</v>
      </c>
      <c r="N129" s="68">
        <f t="shared" si="353"/>
        <v>1560</v>
      </c>
      <c r="O129" s="68">
        <f t="shared" si="354"/>
        <v>1040</v>
      </c>
      <c r="P129" s="259"/>
      <c r="Q129" s="260">
        <f t="shared" si="355"/>
        <v>26000</v>
      </c>
      <c r="R129" s="188">
        <f>VLOOKUP(B129,'Salary -Dec-2024 (Full)'!$B$6:$AE$383,17,0)</f>
        <v>26000</v>
      </c>
      <c r="S129" s="192">
        <f>VLOOKUP(B129,'Salary -Dec-2024 (Full)'!$B$6:$AE$383,18,0)</f>
        <v>0</v>
      </c>
      <c r="T129" s="192">
        <f>VLOOKUP(B129,'Salary -Dec-2024 (Full)'!$B$6:$AE$383,19,0)</f>
        <v>0</v>
      </c>
      <c r="U129" s="337">
        <f>VLOOKUP(B129,'Salary -Dec-2024 (Full)'!$B$6:$AE$383,20,0)</f>
        <v>0</v>
      </c>
      <c r="V129" s="263">
        <f t="shared" ref="V129:V130" si="360">SUM(R129:U129)</f>
        <v>26000</v>
      </c>
      <c r="W129" s="192">
        <f>VLOOKUP(B129,'Salary -Dec-2024 (Full)'!$B$6:$AE$383,22,0)</f>
        <v>0</v>
      </c>
      <c r="X129" s="192">
        <f>VLOOKUP(B129,'Salary -Dec-2024 (Full)'!$B$6:$AE$383,23,0)</f>
        <v>0</v>
      </c>
      <c r="Y129" s="337">
        <f>VLOOKUP(B129,'Salary -Dec-2024 (Full)'!$B$6:$AE$383,24,0)</f>
        <v>780</v>
      </c>
      <c r="Z129" s="192">
        <f>VLOOKUP(B129,'Salary -Dec-2024 (Full)'!$B$6:$AE$383,25,0)</f>
        <v>1058</v>
      </c>
      <c r="AA129" s="192">
        <f>VLOOKUP(B129,'Salary -Dec-2024 (Full)'!$B$6:$AE$383,26,0)</f>
        <v>0</v>
      </c>
      <c r="AB129" s="384">
        <f t="shared" ref="AB129:AB142" si="361">SUM(W129:AA129)</f>
        <v>1838</v>
      </c>
      <c r="AC129" s="193">
        <f t="shared" ref="AC129:AC142" si="362">ROUND(V129-AB129,0)</f>
        <v>24162</v>
      </c>
      <c r="AD129" s="264" t="str">
        <f>VLOOKUP(B129,'Salary -Dec-2024 (Full)'!$B$6:$AE$383,29,0)</f>
        <v>Bank</v>
      </c>
      <c r="AE129" s="264" t="str">
        <f>VLOOKUP(B129,'Salary -Dec-2024 (Full)'!$B$6:$AE$383,30,0)</f>
        <v>169.151.0074605</v>
      </c>
      <c r="AG129" s="61"/>
      <c r="AH129" s="183"/>
      <c r="AI129" s="320"/>
    </row>
    <row r="130" spans="1:35" s="47" customFormat="1" ht="24" customHeight="1">
      <c r="A130" s="62">
        <v>24</v>
      </c>
      <c r="B130" s="254" t="s">
        <v>648</v>
      </c>
      <c r="C130" s="341" t="str">
        <f>VLOOKUP(B130,'Salary -Dec-2024 (Full)'!$B$6:$D$383,2,0)</f>
        <v>B M Abul Hasnath</v>
      </c>
      <c r="D130" s="342" t="str">
        <f>VLOOKUP(B130,'Salary -Dec-2024 (Full)'!$B$6:$D$383,3,0)</f>
        <v>ATM</v>
      </c>
      <c r="E130" s="343" t="str">
        <f>VLOOKUP(B130,'Salary -Dec-2024 (Full)'!$B$6:$AE$383,4,0)</f>
        <v>S&amp;M</v>
      </c>
      <c r="F130" s="477">
        <f>VLOOKUP(B130,'Salary -Dec-2024 (Full)'!$B$6:$AE$383,5,0)</f>
        <v>45052</v>
      </c>
      <c r="G130" s="257">
        <f>VLOOKUP(B130,'Salary -Dec-2024 (Full)'!$B$6:$AE$383,6,0)</f>
        <v>31</v>
      </c>
      <c r="H130" s="258">
        <f>VLOOKUP(B130,'Salary -Dec-2024 (Full)'!$B$6:$AE$383,7,0)</f>
        <v>0</v>
      </c>
      <c r="I130" s="257">
        <f t="shared" si="349"/>
        <v>31</v>
      </c>
      <c r="J130" s="258">
        <f t="shared" si="350"/>
        <v>935.48387096774195</v>
      </c>
      <c r="K130" s="72">
        <f>VLOOKUP(B130,'Salary -Dec-2024 (Full)'!$B$6:$AE$383,10,0)</f>
        <v>29000</v>
      </c>
      <c r="L130" s="68">
        <f t="shared" si="351"/>
        <v>17400</v>
      </c>
      <c r="M130" s="68">
        <f t="shared" si="352"/>
        <v>8700</v>
      </c>
      <c r="N130" s="68">
        <f t="shared" si="353"/>
        <v>1740</v>
      </c>
      <c r="O130" s="68">
        <f t="shared" si="354"/>
        <v>1160</v>
      </c>
      <c r="P130" s="259"/>
      <c r="Q130" s="260">
        <f t="shared" si="355"/>
        <v>29000</v>
      </c>
      <c r="R130" s="188">
        <f>VLOOKUP(B130,'Salary -Dec-2024 (Full)'!$B$6:$AE$383,17,0)</f>
        <v>29000</v>
      </c>
      <c r="S130" s="192">
        <f>VLOOKUP(B130,'Salary -Dec-2024 (Full)'!$B$6:$AE$383,18,0)</f>
        <v>0</v>
      </c>
      <c r="T130" s="192">
        <f>VLOOKUP(B130,'Salary -Dec-2024 (Full)'!$B$6:$AE$383,19,0)</f>
        <v>0</v>
      </c>
      <c r="U130" s="337">
        <f>VLOOKUP(B130,'Salary -Dec-2024 (Full)'!$B$6:$AE$383,20,0)</f>
        <v>0</v>
      </c>
      <c r="V130" s="263">
        <f t="shared" si="360"/>
        <v>29000</v>
      </c>
      <c r="W130" s="192">
        <f>VLOOKUP(B130,'Salary -Dec-2024 (Full)'!$B$6:$AE$383,22,0)</f>
        <v>0</v>
      </c>
      <c r="X130" s="192">
        <f>VLOOKUP(B130,'Salary -Dec-2024 (Full)'!$B$6:$AE$383,23,0)</f>
        <v>0</v>
      </c>
      <c r="Y130" s="337">
        <f>VLOOKUP(B130,'Salary -Dec-2024 (Full)'!$B$6:$AE$383,24,0)</f>
        <v>870</v>
      </c>
      <c r="Z130" s="192">
        <f>VLOOKUP(B130,'Salary -Dec-2024 (Full)'!$B$6:$AE$383,25,0)</f>
        <v>0</v>
      </c>
      <c r="AA130" s="192">
        <f>VLOOKUP(B130,'Salary -Dec-2024 (Full)'!$B$6:$AE$383,26,0)</f>
        <v>0</v>
      </c>
      <c r="AB130" s="384">
        <f t="shared" si="361"/>
        <v>870</v>
      </c>
      <c r="AC130" s="193">
        <f t="shared" si="362"/>
        <v>28130</v>
      </c>
      <c r="AD130" s="264" t="str">
        <f>VLOOKUP(B130,'Salary -Dec-2024 (Full)'!$B$6:$AE$383,29,0)</f>
        <v>Bank</v>
      </c>
      <c r="AE130" s="264" t="str">
        <f>VLOOKUP(B130,'Salary -Dec-2024 (Full)'!$B$6:$AE$383,30,0)</f>
        <v>283.158.0025980</v>
      </c>
      <c r="AG130" s="61"/>
      <c r="AH130" s="183"/>
      <c r="AI130" s="320"/>
    </row>
    <row r="131" spans="1:35" s="47" customFormat="1" ht="24" customHeight="1">
      <c r="A131" s="253">
        <v>25</v>
      </c>
      <c r="B131" s="254" t="s">
        <v>883</v>
      </c>
      <c r="C131" s="255" t="str">
        <f>VLOOKUP(B131,'Salary -Dec-2024 (Full)'!$B$6:$D$383,2,0)</f>
        <v>Md Rumman Shaikh</v>
      </c>
      <c r="D131" s="278" t="str">
        <f>VLOOKUP(B131,'Salary -Dec-2024 (Full)'!$B$6:$D$383,3,0)</f>
        <v>Zonal Manager</v>
      </c>
      <c r="E131" s="256" t="str">
        <f>VLOOKUP(B131,'Salary -Dec-2024 (Full)'!$B$6:$AE$383,4,0)</f>
        <v>S&amp;M</v>
      </c>
      <c r="F131" s="475">
        <f>VLOOKUP(B131,'Salary -Dec-2024 (Full)'!$B$6:$AE$383,5,0)</f>
        <v>45171</v>
      </c>
      <c r="G131" s="257">
        <f>VLOOKUP(B131,'Salary -Dec-2024 (Full)'!$B$6:$AE$383,6,0)</f>
        <v>31</v>
      </c>
      <c r="H131" s="258">
        <f>VLOOKUP(B131,'Salary -Dec-2024 (Full)'!$B$6:$AE$383,7,0)</f>
        <v>0</v>
      </c>
      <c r="I131" s="257">
        <f t="shared" ref="I131" si="363">G131-H131</f>
        <v>31</v>
      </c>
      <c r="J131" s="258">
        <f t="shared" ref="J131" si="364">Q131/G131</f>
        <v>2064.516129032258</v>
      </c>
      <c r="K131" s="72">
        <f>VLOOKUP(B131,'Salary -Dec-2024 (Full)'!$B$6:$AE$383,10,0)</f>
        <v>64000</v>
      </c>
      <c r="L131" s="72">
        <f t="shared" ref="L131" si="365">K131*60%</f>
        <v>38400</v>
      </c>
      <c r="M131" s="72">
        <f t="shared" ref="M131" si="366">K131*30%</f>
        <v>19200</v>
      </c>
      <c r="N131" s="72">
        <f t="shared" ref="N131" si="367">K131*6%</f>
        <v>3840</v>
      </c>
      <c r="O131" s="72">
        <f t="shared" ref="O131" si="368">K131*4%</f>
        <v>2560</v>
      </c>
      <c r="P131" s="259"/>
      <c r="Q131" s="260">
        <f t="shared" ref="Q131" si="369">SUM(L131:P131)</f>
        <v>64000</v>
      </c>
      <c r="R131" s="188">
        <f>VLOOKUP(B131,'Salary -Dec-2024 (Full)'!$B$6:$AE$383,17,0)</f>
        <v>64000</v>
      </c>
      <c r="S131" s="192">
        <f>VLOOKUP(B131,'Salary -Dec-2024 (Full)'!$B$6:$AE$383,18,0)</f>
        <v>0</v>
      </c>
      <c r="T131" s="192">
        <f>VLOOKUP(B131,'Salary -Dec-2024 (Full)'!$B$6:$AE$383,19,0)</f>
        <v>0</v>
      </c>
      <c r="U131" s="337">
        <f>VLOOKUP(B131,'Salary -Dec-2024 (Full)'!$B$6:$AE$383,20,0)</f>
        <v>0</v>
      </c>
      <c r="V131" s="263">
        <f t="shared" ref="V131" si="370">SUM(R131:U131)</f>
        <v>64000</v>
      </c>
      <c r="W131" s="192">
        <f>VLOOKUP(B131,'Salary -Dec-2024 (Full)'!$B$6:$AE$383,22,0)</f>
        <v>417</v>
      </c>
      <c r="X131" s="192">
        <f>VLOOKUP(B131,'Salary -Dec-2024 (Full)'!$B$6:$AE$383,23,0)</f>
        <v>0</v>
      </c>
      <c r="Y131" s="337">
        <f>VLOOKUP(B131,'Salary -Dec-2024 (Full)'!$B$6:$AE$383,24,0)</f>
        <v>1920</v>
      </c>
      <c r="Z131" s="192">
        <f>VLOOKUP(B131,'Salary -Dec-2024 (Full)'!$B$6:$AE$383,25,0)</f>
        <v>2861</v>
      </c>
      <c r="AA131" s="192">
        <f>VLOOKUP(B131,'Salary -Dec-2024 (Full)'!$B$6:$AE$383,26,0)</f>
        <v>0</v>
      </c>
      <c r="AB131" s="384">
        <f t="shared" si="361"/>
        <v>5198</v>
      </c>
      <c r="AC131" s="193">
        <f t="shared" si="362"/>
        <v>58802</v>
      </c>
      <c r="AD131" s="264" t="str">
        <f>VLOOKUP(B131,'Salary -Dec-2024 (Full)'!$B$6:$AE$383,29,0)</f>
        <v>Bank</v>
      </c>
      <c r="AE131" s="264" t="str">
        <f>VLOOKUP(B131,'Salary -Dec-2024 (Full)'!$B$6:$AE$383,30,0)</f>
        <v>163.158.0088597</v>
      </c>
      <c r="AG131" s="61"/>
      <c r="AH131" s="183"/>
      <c r="AI131" s="319"/>
    </row>
    <row r="132" spans="1:35" s="47" customFormat="1" ht="24" customHeight="1">
      <c r="A132" s="62">
        <v>26</v>
      </c>
      <c r="B132" s="254" t="s">
        <v>886</v>
      </c>
      <c r="C132" s="255" t="str">
        <f>VLOOKUP(B132,'Salary -Dec-2024 (Full)'!$B$6:$D$383,2,0)</f>
        <v>Md Liaqueat Ali</v>
      </c>
      <c r="D132" s="278" t="str">
        <f>VLOOKUP(B132,'Salary -Dec-2024 (Full)'!$B$6:$D$383,3,0)</f>
        <v>Zonal Manager</v>
      </c>
      <c r="E132" s="256" t="str">
        <f>VLOOKUP(B132,'Salary -Dec-2024 (Full)'!$B$6:$AE$383,4,0)</f>
        <v>S&amp;M</v>
      </c>
      <c r="F132" s="475">
        <f>VLOOKUP(B132,'Salary -Dec-2024 (Full)'!$B$6:$AE$383,5,0)</f>
        <v>45171</v>
      </c>
      <c r="G132" s="257">
        <f>VLOOKUP(B132,'Salary -Dec-2024 (Full)'!$B$6:$AE$383,6,0)</f>
        <v>31</v>
      </c>
      <c r="H132" s="258">
        <f>VLOOKUP(B132,'Salary -Dec-2024 (Full)'!$B$6:$AE$383,7,0)</f>
        <v>0</v>
      </c>
      <c r="I132" s="257">
        <f t="shared" ref="I132:I141" si="371">G132-H132</f>
        <v>31</v>
      </c>
      <c r="J132" s="258">
        <f t="shared" ref="J132:J141" si="372">Q132/G132</f>
        <v>2629.0322580645161</v>
      </c>
      <c r="K132" s="72">
        <f>VLOOKUP(B132,'Salary -Dec-2024 (Full)'!$B$6:$AE$383,10,0)</f>
        <v>81500</v>
      </c>
      <c r="L132" s="72">
        <f t="shared" ref="L132:L141" si="373">K132*60%</f>
        <v>48900</v>
      </c>
      <c r="M132" s="72">
        <f t="shared" ref="M132:M141" si="374">K132*30%</f>
        <v>24450</v>
      </c>
      <c r="N132" s="72">
        <f t="shared" ref="N132:N141" si="375">K132*6%</f>
        <v>4890</v>
      </c>
      <c r="O132" s="72">
        <f t="shared" ref="O132:O141" si="376">K132*4%</f>
        <v>3260</v>
      </c>
      <c r="P132" s="259"/>
      <c r="Q132" s="260">
        <f t="shared" ref="Q132:Q141" si="377">SUM(L132:P132)</f>
        <v>81500</v>
      </c>
      <c r="R132" s="188">
        <f>VLOOKUP(B132,'Salary -Dec-2024 (Full)'!$B$6:$AE$383,17,0)</f>
        <v>81500</v>
      </c>
      <c r="S132" s="192">
        <f>VLOOKUP(B132,'Salary -Dec-2024 (Full)'!$B$6:$AE$383,18,0)</f>
        <v>0</v>
      </c>
      <c r="T132" s="192">
        <f>VLOOKUP(B132,'Salary -Dec-2024 (Full)'!$B$6:$AE$383,19,0)</f>
        <v>0</v>
      </c>
      <c r="U132" s="337">
        <f>VLOOKUP(B132,'Salary -Dec-2024 (Full)'!$B$6:$AE$383,20,0)</f>
        <v>0</v>
      </c>
      <c r="V132" s="263">
        <f t="shared" ref="V132:V141" si="378">SUM(R132:U132)</f>
        <v>81500</v>
      </c>
      <c r="W132" s="192">
        <f>VLOOKUP(B132,'Salary -Dec-2024 (Full)'!$B$6:$AE$383,22,0)</f>
        <v>773</v>
      </c>
      <c r="X132" s="192">
        <f>VLOOKUP(B132,'Salary -Dec-2024 (Full)'!$B$6:$AE$383,23,0)</f>
        <v>0</v>
      </c>
      <c r="Y132" s="337">
        <f>VLOOKUP(B132,'Salary -Dec-2024 (Full)'!$B$6:$AE$383,24,0)</f>
        <v>2445</v>
      </c>
      <c r="Z132" s="192">
        <f>VLOOKUP(B132,'Salary -Dec-2024 (Full)'!$B$6:$AE$383,25,0)</f>
        <v>0</v>
      </c>
      <c r="AA132" s="192">
        <f>VLOOKUP(B132,'Salary -Dec-2024 (Full)'!$B$6:$AE$383,26,0)</f>
        <v>0</v>
      </c>
      <c r="AB132" s="384">
        <f t="shared" si="361"/>
        <v>3218</v>
      </c>
      <c r="AC132" s="193">
        <f t="shared" si="362"/>
        <v>78282</v>
      </c>
      <c r="AD132" s="264" t="str">
        <f>VLOOKUP(B132,'Salary -Dec-2024 (Full)'!$B$6:$AE$383,29,0)</f>
        <v>Bank</v>
      </c>
      <c r="AE132" s="264" t="str">
        <f>VLOOKUP(B132,'Salary -Dec-2024 (Full)'!$B$6:$AE$383,30,0)</f>
        <v>103.103.0171206</v>
      </c>
      <c r="AG132" s="61"/>
      <c r="AH132" s="183"/>
      <c r="AI132" s="319"/>
    </row>
    <row r="133" spans="1:35" s="47" customFormat="1" ht="33.75" customHeight="1">
      <c r="A133" s="253">
        <v>27</v>
      </c>
      <c r="B133" s="254" t="s">
        <v>895</v>
      </c>
      <c r="C133" s="255" t="str">
        <f>VLOOKUP(B133,'Salary -Dec-2024 (Full)'!$B$6:$D$383,2,0)</f>
        <v>Hiru Miah</v>
      </c>
      <c r="D133" s="278" t="str">
        <f>VLOOKUP(B133,'Salary -Dec-2024 (Full)'!$B$6:$D$383,3,0)</f>
        <v>Sr. Territory Sales officer</v>
      </c>
      <c r="E133" s="256" t="str">
        <f>VLOOKUP(B133,'Salary -Dec-2024 (Full)'!$B$6:$AE$383,4,0)</f>
        <v>S&amp;M</v>
      </c>
      <c r="F133" s="475">
        <f>VLOOKUP(B133,'Salary -Dec-2024 (Full)'!$B$6:$AE$383,5,0)</f>
        <v>45171</v>
      </c>
      <c r="G133" s="257">
        <f>VLOOKUP(B133,'Salary -Dec-2024 (Full)'!$B$6:$AE$383,6,0)</f>
        <v>31</v>
      </c>
      <c r="H133" s="258">
        <f>VLOOKUP(B133,'Salary -Dec-2024 (Full)'!$B$6:$AE$383,7,0)</f>
        <v>0</v>
      </c>
      <c r="I133" s="257">
        <f t="shared" si="371"/>
        <v>31</v>
      </c>
      <c r="J133" s="258">
        <f t="shared" si="372"/>
        <v>935.48387096774195</v>
      </c>
      <c r="K133" s="72">
        <f>VLOOKUP(B133,'Salary -Dec-2024 (Full)'!$B$6:$AE$383,10,0)</f>
        <v>29000</v>
      </c>
      <c r="L133" s="72">
        <f t="shared" si="373"/>
        <v>17400</v>
      </c>
      <c r="M133" s="72">
        <f t="shared" si="374"/>
        <v>8700</v>
      </c>
      <c r="N133" s="72">
        <f t="shared" si="375"/>
        <v>1740</v>
      </c>
      <c r="O133" s="72">
        <f t="shared" si="376"/>
        <v>1160</v>
      </c>
      <c r="P133" s="259"/>
      <c r="Q133" s="260">
        <f t="shared" si="377"/>
        <v>29000</v>
      </c>
      <c r="R133" s="188">
        <f>VLOOKUP(B133,'Salary -Dec-2024 (Full)'!$B$6:$AE$383,17,0)</f>
        <v>29000</v>
      </c>
      <c r="S133" s="192">
        <f>VLOOKUP(B133,'Salary -Dec-2024 (Full)'!$B$6:$AE$383,18,0)</f>
        <v>0</v>
      </c>
      <c r="T133" s="192">
        <f>VLOOKUP(B133,'Salary -Dec-2024 (Full)'!$B$6:$AE$383,19,0)</f>
        <v>0</v>
      </c>
      <c r="U133" s="337">
        <f>VLOOKUP(B133,'Salary -Dec-2024 (Full)'!$B$6:$AE$383,20,0)</f>
        <v>0</v>
      </c>
      <c r="V133" s="263">
        <f t="shared" si="378"/>
        <v>29000</v>
      </c>
      <c r="W133" s="192">
        <f>VLOOKUP(B133,'Salary -Dec-2024 (Full)'!$B$6:$AE$383,22,0)</f>
        <v>0</v>
      </c>
      <c r="X133" s="192">
        <f>VLOOKUP(B133,'Salary -Dec-2024 (Full)'!$B$6:$AE$383,23,0)</f>
        <v>0</v>
      </c>
      <c r="Y133" s="337">
        <f>VLOOKUP(B133,'Salary -Dec-2024 (Full)'!$B$6:$AE$383,24,0)</f>
        <v>870</v>
      </c>
      <c r="Z133" s="192">
        <f>VLOOKUP(B133,'Salary -Dec-2024 (Full)'!$B$6:$AE$383,25,0)</f>
        <v>2160</v>
      </c>
      <c r="AA133" s="192">
        <f>VLOOKUP(B133,'Salary -Dec-2024 (Full)'!$B$6:$AE$383,26,0)</f>
        <v>0</v>
      </c>
      <c r="AB133" s="384">
        <f t="shared" si="361"/>
        <v>3030</v>
      </c>
      <c r="AC133" s="193">
        <f t="shared" si="362"/>
        <v>25970</v>
      </c>
      <c r="AD133" s="264" t="str">
        <f>VLOOKUP(B133,'Salary -Dec-2024 (Full)'!$B$6:$AE$383,29,0)</f>
        <v>Bank</v>
      </c>
      <c r="AE133" s="264" t="str">
        <f>VLOOKUP(B133,'Salary -Dec-2024 (Full)'!$B$6:$AE$383,30,0)</f>
        <v>262.103.0013079</v>
      </c>
      <c r="AG133" s="61"/>
      <c r="AH133" s="183"/>
      <c r="AI133" s="319"/>
    </row>
    <row r="134" spans="1:35" s="47" customFormat="1" ht="33">
      <c r="A134" s="62">
        <v>28</v>
      </c>
      <c r="B134" s="254" t="s">
        <v>897</v>
      </c>
      <c r="C134" s="255" t="str">
        <f>VLOOKUP(B134,'Salary -Dec-2024 (Full)'!$B$6:$D$383,2,0)</f>
        <v>Md Alamin</v>
      </c>
      <c r="D134" s="278" t="str">
        <f>VLOOKUP(B134,'Salary -Dec-2024 (Full)'!$B$6:$D$383,3,0)</f>
        <v>Sr. Territory Sales officer</v>
      </c>
      <c r="E134" s="256" t="str">
        <f>VLOOKUP(B134,'Salary -Dec-2024 (Full)'!$B$6:$AE$383,4,0)</f>
        <v>S&amp;M</v>
      </c>
      <c r="F134" s="475">
        <f>VLOOKUP(B134,'Salary -Dec-2024 (Full)'!$B$6:$AE$383,5,0)</f>
        <v>45171</v>
      </c>
      <c r="G134" s="257">
        <f>VLOOKUP(B134,'Salary -Dec-2024 (Full)'!$B$6:$AE$383,6,0)</f>
        <v>31</v>
      </c>
      <c r="H134" s="258">
        <f>VLOOKUP(B134,'Salary -Dec-2024 (Full)'!$B$6:$AE$383,7,0)</f>
        <v>16</v>
      </c>
      <c r="I134" s="257">
        <f t="shared" si="371"/>
        <v>15</v>
      </c>
      <c r="J134" s="258">
        <f t="shared" si="372"/>
        <v>709.67741935483866</v>
      </c>
      <c r="K134" s="72">
        <f>VLOOKUP(B134,'Salary -Dec-2024 (Full)'!$B$6:$AE$383,10,0)</f>
        <v>22000</v>
      </c>
      <c r="L134" s="72">
        <f t="shared" si="373"/>
        <v>13200</v>
      </c>
      <c r="M134" s="72">
        <f t="shared" si="374"/>
        <v>6600</v>
      </c>
      <c r="N134" s="72">
        <f t="shared" si="375"/>
        <v>1320</v>
      </c>
      <c r="O134" s="72">
        <f t="shared" si="376"/>
        <v>880</v>
      </c>
      <c r="P134" s="259"/>
      <c r="Q134" s="260">
        <f t="shared" si="377"/>
        <v>22000</v>
      </c>
      <c r="R134" s="188">
        <f>VLOOKUP(B134,'Salary -Dec-2024 (Full)'!$B$6:$AE$383,17,0)</f>
        <v>10645</v>
      </c>
      <c r="S134" s="192">
        <f>VLOOKUP(B134,'Salary -Dec-2024 (Full)'!$B$6:$AE$383,18,0)</f>
        <v>0</v>
      </c>
      <c r="T134" s="192">
        <f>VLOOKUP(B134,'Salary -Dec-2024 (Full)'!$B$6:$AE$383,19,0)</f>
        <v>0</v>
      </c>
      <c r="U134" s="337">
        <f>VLOOKUP(B134,'Salary -Dec-2024 (Full)'!$B$6:$AE$383,20,0)</f>
        <v>0</v>
      </c>
      <c r="V134" s="263">
        <f t="shared" si="378"/>
        <v>10645</v>
      </c>
      <c r="W134" s="192">
        <f>VLOOKUP(B134,'Salary -Dec-2024 (Full)'!$B$6:$AE$383,22,0)</f>
        <v>0</v>
      </c>
      <c r="X134" s="192">
        <f>VLOOKUP(B134,'Salary -Dec-2024 (Full)'!$B$6:$AE$383,23,0)</f>
        <v>0</v>
      </c>
      <c r="Y134" s="337">
        <f>VLOOKUP(B134,'Salary -Dec-2024 (Full)'!$B$6:$AE$383,24,0)</f>
        <v>660</v>
      </c>
      <c r="Z134" s="192">
        <f>VLOOKUP(B134,'Salary -Dec-2024 (Full)'!$B$6:$AE$383,25,0)</f>
        <v>2160</v>
      </c>
      <c r="AA134" s="192">
        <f>VLOOKUP(B134,'Salary -Dec-2024 (Full)'!$B$6:$AE$383,26,0)</f>
        <v>0</v>
      </c>
      <c r="AB134" s="384">
        <f t="shared" si="361"/>
        <v>2820</v>
      </c>
      <c r="AC134" s="193">
        <f t="shared" si="362"/>
        <v>7825</v>
      </c>
      <c r="AD134" s="264" t="str">
        <f>VLOOKUP(B134,'Salary -Dec-2024 (Full)'!$B$6:$AE$383,29,0)</f>
        <v>Cash</v>
      </c>
      <c r="AE134" s="264" t="str">
        <f>VLOOKUP(B134,'Salary -Dec-2024 (Full)'!$B$6:$AE$383,30,0)</f>
        <v>Resign</v>
      </c>
      <c r="AG134" s="61"/>
      <c r="AH134" s="183"/>
      <c r="AI134" s="319"/>
    </row>
    <row r="135" spans="1:35" s="47" customFormat="1" ht="33">
      <c r="A135" s="253">
        <v>29</v>
      </c>
      <c r="B135" s="254" t="s">
        <v>899</v>
      </c>
      <c r="C135" s="255" t="str">
        <f>VLOOKUP(B135,'Salary -Dec-2024 (Full)'!$B$6:$D$383,2,0)</f>
        <v>Md Noor Islam</v>
      </c>
      <c r="D135" s="278" t="str">
        <f>VLOOKUP(B135,'Salary -Dec-2024 (Full)'!$B$6:$D$383,3,0)</f>
        <v>Sr. Territory Sales officer</v>
      </c>
      <c r="E135" s="256" t="str">
        <f>VLOOKUP(B135,'Salary -Dec-2024 (Full)'!$B$6:$AE$383,4,0)</f>
        <v>S&amp;M</v>
      </c>
      <c r="F135" s="475">
        <f>VLOOKUP(B135,'Salary -Dec-2024 (Full)'!$B$6:$AE$383,5,0)</f>
        <v>45171</v>
      </c>
      <c r="G135" s="257">
        <f>VLOOKUP(B135,'Salary -Dec-2024 (Full)'!$B$6:$AE$383,6,0)</f>
        <v>31</v>
      </c>
      <c r="H135" s="258">
        <f>VLOOKUP(B135,'Salary -Dec-2024 (Full)'!$B$6:$AE$383,7,0)</f>
        <v>0</v>
      </c>
      <c r="I135" s="257">
        <f t="shared" si="371"/>
        <v>31</v>
      </c>
      <c r="J135" s="258">
        <f t="shared" si="372"/>
        <v>838.70967741935488</v>
      </c>
      <c r="K135" s="72">
        <f>VLOOKUP(B135,'Salary -Dec-2024 (Full)'!$B$6:$AE$383,10,0)</f>
        <v>26000</v>
      </c>
      <c r="L135" s="72">
        <f t="shared" si="373"/>
        <v>15600</v>
      </c>
      <c r="M135" s="72">
        <f t="shared" si="374"/>
        <v>7800</v>
      </c>
      <c r="N135" s="72">
        <f t="shared" si="375"/>
        <v>1560</v>
      </c>
      <c r="O135" s="72">
        <f t="shared" si="376"/>
        <v>1040</v>
      </c>
      <c r="P135" s="259"/>
      <c r="Q135" s="260">
        <f t="shared" si="377"/>
        <v>26000</v>
      </c>
      <c r="R135" s="188">
        <f>VLOOKUP(B135,'Salary -Dec-2024 (Full)'!$B$6:$AE$383,17,0)</f>
        <v>26000</v>
      </c>
      <c r="S135" s="192">
        <f>VLOOKUP(B135,'Salary -Dec-2024 (Full)'!$B$6:$AE$383,18,0)</f>
        <v>0</v>
      </c>
      <c r="T135" s="192">
        <f>VLOOKUP(B135,'Salary -Dec-2024 (Full)'!$B$6:$AE$383,19,0)</f>
        <v>0</v>
      </c>
      <c r="U135" s="337">
        <f>VLOOKUP(B135,'Salary -Dec-2024 (Full)'!$B$6:$AE$383,20,0)</f>
        <v>0</v>
      </c>
      <c r="V135" s="263">
        <f t="shared" si="378"/>
        <v>26000</v>
      </c>
      <c r="W135" s="192">
        <f>VLOOKUP(B135,'Salary -Dec-2024 (Full)'!$B$6:$AE$383,22,0)</f>
        <v>0</v>
      </c>
      <c r="X135" s="192">
        <f>VLOOKUP(B135,'Salary -Dec-2024 (Full)'!$B$6:$AE$383,23,0)</f>
        <v>0</v>
      </c>
      <c r="Y135" s="337">
        <f>VLOOKUP(B135,'Salary -Dec-2024 (Full)'!$B$6:$AE$383,24,0)</f>
        <v>780</v>
      </c>
      <c r="Z135" s="192">
        <f>VLOOKUP(B135,'Salary -Dec-2024 (Full)'!$B$6:$AE$383,25,0)</f>
        <v>2160</v>
      </c>
      <c r="AA135" s="192">
        <f>VLOOKUP(B135,'Salary -Dec-2024 (Full)'!$B$6:$AE$383,26,0)</f>
        <v>0</v>
      </c>
      <c r="AB135" s="384">
        <f t="shared" si="361"/>
        <v>2940</v>
      </c>
      <c r="AC135" s="193">
        <f t="shared" si="362"/>
        <v>23060</v>
      </c>
      <c r="AD135" s="264" t="str">
        <f>VLOOKUP(B135,'Salary -Dec-2024 (Full)'!$B$6:$AE$383,29,0)</f>
        <v>Bank</v>
      </c>
      <c r="AE135" s="264" t="str">
        <f>VLOOKUP(B135,'Salary -Dec-2024 (Full)'!$B$6:$AE$383,30,0)</f>
        <v>302.158.0003887</v>
      </c>
      <c r="AG135" s="61"/>
      <c r="AH135" s="183"/>
      <c r="AI135" s="319"/>
    </row>
    <row r="136" spans="1:35" s="47" customFormat="1" ht="33">
      <c r="A136" s="62">
        <v>30</v>
      </c>
      <c r="B136" s="254" t="s">
        <v>901</v>
      </c>
      <c r="C136" s="255" t="str">
        <f>VLOOKUP(B136,'Salary -Dec-2024 (Full)'!$B$6:$D$383,2,0)</f>
        <v>Md Rakibul Hasan</v>
      </c>
      <c r="D136" s="278" t="str">
        <f>VLOOKUP(B136,'Salary -Dec-2024 (Full)'!$B$6:$D$383,3,0)</f>
        <v>Sr. Territory Sales officer</v>
      </c>
      <c r="E136" s="256" t="str">
        <f>VLOOKUP(B136,'Salary -Dec-2024 (Full)'!$B$6:$AE$383,4,0)</f>
        <v>S&amp;M</v>
      </c>
      <c r="F136" s="475">
        <f>VLOOKUP(B136,'Salary -Dec-2024 (Full)'!$B$6:$AE$383,5,0)</f>
        <v>45171</v>
      </c>
      <c r="G136" s="257">
        <f>VLOOKUP(B136,'Salary -Dec-2024 (Full)'!$B$6:$AE$383,6,0)</f>
        <v>31</v>
      </c>
      <c r="H136" s="258">
        <f>VLOOKUP(B136,'Salary -Dec-2024 (Full)'!$B$6:$AE$383,7,0)</f>
        <v>0</v>
      </c>
      <c r="I136" s="257">
        <f t="shared" si="371"/>
        <v>31</v>
      </c>
      <c r="J136" s="258">
        <f t="shared" si="372"/>
        <v>958.06451612903231</v>
      </c>
      <c r="K136" s="72">
        <f>VLOOKUP(B136,'Salary -Dec-2024 (Full)'!$B$6:$AE$383,10,0)</f>
        <v>29700</v>
      </c>
      <c r="L136" s="72">
        <f t="shared" si="373"/>
        <v>17820</v>
      </c>
      <c r="M136" s="72">
        <f t="shared" si="374"/>
        <v>8910</v>
      </c>
      <c r="N136" s="72">
        <f t="shared" si="375"/>
        <v>1782</v>
      </c>
      <c r="O136" s="72">
        <f t="shared" si="376"/>
        <v>1188</v>
      </c>
      <c r="P136" s="259"/>
      <c r="Q136" s="260">
        <f t="shared" si="377"/>
        <v>29700</v>
      </c>
      <c r="R136" s="188">
        <f>VLOOKUP(B136,'Salary -Dec-2024 (Full)'!$B$6:$AE$383,17,0)</f>
        <v>29700</v>
      </c>
      <c r="S136" s="192">
        <f>VLOOKUP(B136,'Salary -Dec-2024 (Full)'!$B$6:$AE$383,18,0)</f>
        <v>0</v>
      </c>
      <c r="T136" s="192">
        <f>VLOOKUP(B136,'Salary -Dec-2024 (Full)'!$B$6:$AE$383,19,0)</f>
        <v>0</v>
      </c>
      <c r="U136" s="337">
        <f>VLOOKUP(B136,'Salary -Dec-2024 (Full)'!$B$6:$AE$383,20,0)</f>
        <v>0</v>
      </c>
      <c r="V136" s="263">
        <f t="shared" si="378"/>
        <v>29700</v>
      </c>
      <c r="W136" s="192">
        <f>VLOOKUP(B136,'Salary -Dec-2024 (Full)'!$B$6:$AE$383,22,0)</f>
        <v>0</v>
      </c>
      <c r="X136" s="192">
        <f>VLOOKUP(B136,'Salary -Dec-2024 (Full)'!$B$6:$AE$383,23,0)</f>
        <v>0</v>
      </c>
      <c r="Y136" s="337">
        <f>VLOOKUP(B136,'Salary -Dec-2024 (Full)'!$B$6:$AE$383,24,0)</f>
        <v>891</v>
      </c>
      <c r="Z136" s="192">
        <f>VLOOKUP(B136,'Salary -Dec-2024 (Full)'!$B$6:$AE$383,25,0)</f>
        <v>2160</v>
      </c>
      <c r="AA136" s="192">
        <f>VLOOKUP(B136,'Salary -Dec-2024 (Full)'!$B$6:$AE$383,26,0)</f>
        <v>0</v>
      </c>
      <c r="AB136" s="384">
        <f t="shared" si="361"/>
        <v>3051</v>
      </c>
      <c r="AC136" s="193">
        <f t="shared" si="362"/>
        <v>26649</v>
      </c>
      <c r="AD136" s="264" t="str">
        <f>VLOOKUP(B136,'Salary -Dec-2024 (Full)'!$B$6:$AE$383,29,0)</f>
        <v>Bank</v>
      </c>
      <c r="AE136" s="264" t="str">
        <f>VLOOKUP(B136,'Salary -Dec-2024 (Full)'!$B$6:$AE$383,30,0)</f>
        <v>256.158.0042967</v>
      </c>
      <c r="AG136" s="61"/>
      <c r="AH136" s="183"/>
      <c r="AI136" s="319"/>
    </row>
    <row r="137" spans="1:35" s="47" customFormat="1" ht="22.5" customHeight="1">
      <c r="A137" s="253">
        <v>31</v>
      </c>
      <c r="B137" s="254" t="s">
        <v>905</v>
      </c>
      <c r="C137" s="255" t="str">
        <f>VLOOKUP(B137,'Salary -Dec-2024 (Full)'!$B$6:$D$383,2,0)</f>
        <v>AKM Asif Iqbal</v>
      </c>
      <c r="D137" s="278" t="str">
        <f>VLOOKUP(B137,'Salary -Dec-2024 (Full)'!$B$6:$D$383,3,0)</f>
        <v>Territory Manger</v>
      </c>
      <c r="E137" s="256" t="str">
        <f>VLOOKUP(B137,'Salary -Dec-2024 (Full)'!$B$6:$AE$383,4,0)</f>
        <v>S&amp;M</v>
      </c>
      <c r="F137" s="475">
        <f>VLOOKUP(B137,'Salary -Dec-2024 (Full)'!$B$6:$AE$383,5,0)</f>
        <v>45183</v>
      </c>
      <c r="G137" s="257">
        <f>VLOOKUP(B137,'Salary -Dec-2024 (Full)'!$B$6:$AE$383,6,0)</f>
        <v>31</v>
      </c>
      <c r="H137" s="258">
        <f>VLOOKUP(B137,'Salary -Dec-2024 (Full)'!$B$6:$AE$383,7,0)</f>
        <v>0</v>
      </c>
      <c r="I137" s="257">
        <f t="shared" si="371"/>
        <v>31</v>
      </c>
      <c r="J137" s="258">
        <f t="shared" si="372"/>
        <v>1161.2903225806451</v>
      </c>
      <c r="K137" s="72">
        <f>VLOOKUP(B137,'Salary -Dec-2024 (Full)'!$B$6:$AE$383,10,0)</f>
        <v>36000</v>
      </c>
      <c r="L137" s="72">
        <f t="shared" si="373"/>
        <v>21600</v>
      </c>
      <c r="M137" s="72">
        <f t="shared" si="374"/>
        <v>10800</v>
      </c>
      <c r="N137" s="72">
        <f t="shared" si="375"/>
        <v>2160</v>
      </c>
      <c r="O137" s="72">
        <f t="shared" si="376"/>
        <v>1440</v>
      </c>
      <c r="P137" s="259"/>
      <c r="Q137" s="260">
        <f t="shared" si="377"/>
        <v>36000</v>
      </c>
      <c r="R137" s="188">
        <f>VLOOKUP(B137,'Salary -Dec-2024 (Full)'!$B$6:$AE$383,17,0)</f>
        <v>36000</v>
      </c>
      <c r="S137" s="192">
        <f>VLOOKUP(B137,'Salary -Dec-2024 (Full)'!$B$6:$AE$383,18,0)</f>
        <v>0</v>
      </c>
      <c r="T137" s="192">
        <f>VLOOKUP(B137,'Salary -Dec-2024 (Full)'!$B$6:$AE$383,19,0)</f>
        <v>0</v>
      </c>
      <c r="U137" s="337">
        <f>VLOOKUP(B137,'Salary -Dec-2024 (Full)'!$B$6:$AE$383,20,0)</f>
        <v>0</v>
      </c>
      <c r="V137" s="263">
        <f t="shared" si="378"/>
        <v>36000</v>
      </c>
      <c r="W137" s="192">
        <f>VLOOKUP(B137,'Salary -Dec-2024 (Full)'!$B$6:$AE$383,22,0)</f>
        <v>0</v>
      </c>
      <c r="X137" s="192">
        <f>VLOOKUP(B137,'Salary -Dec-2024 (Full)'!$B$6:$AE$383,23,0)</f>
        <v>0</v>
      </c>
      <c r="Y137" s="337">
        <f>VLOOKUP(B137,'Salary -Dec-2024 (Full)'!$B$6:$AE$383,24,0)</f>
        <v>1080</v>
      </c>
      <c r="Z137" s="192">
        <f>VLOOKUP(B137,'Salary -Dec-2024 (Full)'!$B$6:$AE$383,25,0)</f>
        <v>0</v>
      </c>
      <c r="AA137" s="192">
        <f>VLOOKUP(B137,'Salary -Dec-2024 (Full)'!$B$6:$AE$383,26,0)</f>
        <v>0</v>
      </c>
      <c r="AB137" s="384">
        <f t="shared" si="361"/>
        <v>1080</v>
      </c>
      <c r="AC137" s="193">
        <f t="shared" si="362"/>
        <v>34920</v>
      </c>
      <c r="AD137" s="264" t="str">
        <f>VLOOKUP(B137,'Salary -Dec-2024 (Full)'!$B$6:$AE$383,29,0)</f>
        <v>Bank</v>
      </c>
      <c r="AE137" s="264" t="str">
        <f>VLOOKUP(B137,'Salary -Dec-2024 (Full)'!$B$6:$AE$383,30,0)</f>
        <v>163.103.0143048</v>
      </c>
      <c r="AG137" s="61"/>
      <c r="AH137" s="183"/>
      <c r="AI137" s="319"/>
    </row>
    <row r="138" spans="1:35" s="47" customFormat="1" ht="33">
      <c r="A138" s="62">
        <v>32</v>
      </c>
      <c r="B138" s="254" t="s">
        <v>908</v>
      </c>
      <c r="C138" s="255" t="str">
        <f>VLOOKUP(B138,'Salary -Dec-2024 (Full)'!$B$6:$D$383,2,0)</f>
        <v>Md Abdul Mazed Mondal</v>
      </c>
      <c r="D138" s="278" t="str">
        <f>VLOOKUP(B138,'Salary -Dec-2024 (Full)'!$B$6:$D$383,3,0)</f>
        <v>Sr. Territory Sales officer</v>
      </c>
      <c r="E138" s="256" t="str">
        <f>VLOOKUP(B138,'Salary -Dec-2024 (Full)'!$B$6:$AE$383,4,0)</f>
        <v>S&amp;M</v>
      </c>
      <c r="F138" s="475">
        <f>VLOOKUP(B138,'Salary -Dec-2024 (Full)'!$B$6:$AE$383,5,0)</f>
        <v>45183</v>
      </c>
      <c r="G138" s="257">
        <f>VLOOKUP(B138,'Salary -Dec-2024 (Full)'!$B$6:$AE$383,6,0)</f>
        <v>31</v>
      </c>
      <c r="H138" s="258">
        <f>VLOOKUP(B138,'Salary -Dec-2024 (Full)'!$B$6:$AE$383,7,0)</f>
        <v>0</v>
      </c>
      <c r="I138" s="257">
        <f t="shared" si="371"/>
        <v>31</v>
      </c>
      <c r="J138" s="258">
        <f t="shared" si="372"/>
        <v>925.80645161290317</v>
      </c>
      <c r="K138" s="72">
        <f>VLOOKUP(B138,'Salary -Dec-2024 (Full)'!$B$6:$AE$383,10,0)</f>
        <v>28700</v>
      </c>
      <c r="L138" s="72">
        <f t="shared" si="373"/>
        <v>17220</v>
      </c>
      <c r="M138" s="72">
        <f t="shared" si="374"/>
        <v>8610</v>
      </c>
      <c r="N138" s="72">
        <f t="shared" si="375"/>
        <v>1722</v>
      </c>
      <c r="O138" s="72">
        <f t="shared" si="376"/>
        <v>1148</v>
      </c>
      <c r="P138" s="259"/>
      <c r="Q138" s="260">
        <f t="shared" si="377"/>
        <v>28700</v>
      </c>
      <c r="R138" s="188">
        <f>VLOOKUP(B138,'Salary -Dec-2024 (Full)'!$B$6:$AE$383,17,0)</f>
        <v>28700</v>
      </c>
      <c r="S138" s="192">
        <f>VLOOKUP(B138,'Salary -Dec-2024 (Full)'!$B$6:$AE$383,18,0)</f>
        <v>0</v>
      </c>
      <c r="T138" s="192">
        <f>VLOOKUP(B138,'Salary -Dec-2024 (Full)'!$B$6:$AE$383,19,0)</f>
        <v>0</v>
      </c>
      <c r="U138" s="337">
        <f>VLOOKUP(B138,'Salary -Dec-2024 (Full)'!$B$6:$AE$383,20,0)</f>
        <v>0</v>
      </c>
      <c r="V138" s="263">
        <f t="shared" si="378"/>
        <v>28700</v>
      </c>
      <c r="W138" s="192">
        <f>VLOOKUP(B138,'Salary -Dec-2024 (Full)'!$B$6:$AE$383,22,0)</f>
        <v>0</v>
      </c>
      <c r="X138" s="192">
        <f>VLOOKUP(B138,'Salary -Dec-2024 (Full)'!$B$6:$AE$383,23,0)</f>
        <v>0</v>
      </c>
      <c r="Y138" s="337">
        <f>VLOOKUP(B138,'Salary -Dec-2024 (Full)'!$B$6:$AE$383,24,0)</f>
        <v>861</v>
      </c>
      <c r="Z138" s="192">
        <f>VLOOKUP(B138,'Salary -Dec-2024 (Full)'!$B$6:$AE$383,25,0)</f>
        <v>0</v>
      </c>
      <c r="AA138" s="192">
        <f>VLOOKUP(B138,'Salary -Dec-2024 (Full)'!$B$6:$AE$383,26,0)</f>
        <v>0</v>
      </c>
      <c r="AB138" s="384">
        <f t="shared" si="361"/>
        <v>861</v>
      </c>
      <c r="AC138" s="193">
        <f t="shared" si="362"/>
        <v>27839</v>
      </c>
      <c r="AD138" s="264" t="str">
        <f>VLOOKUP(B138,'Salary -Dec-2024 (Full)'!$B$6:$AE$383,29,0)</f>
        <v>Bank</v>
      </c>
      <c r="AE138" s="264" t="str">
        <f>VLOOKUP(B138,'Salary -Dec-2024 (Full)'!$B$6:$AE$383,30,0)</f>
        <v>204.158.0033795</v>
      </c>
      <c r="AG138" s="61"/>
      <c r="AH138" s="183"/>
      <c r="AI138" s="319"/>
    </row>
    <row r="139" spans="1:35" s="47" customFormat="1" ht="23.25" customHeight="1">
      <c r="A139" s="253">
        <v>33</v>
      </c>
      <c r="B139" s="254" t="s">
        <v>924</v>
      </c>
      <c r="C139" s="255" t="str">
        <f>VLOOKUP(B139,'Salary -Dec-2024 (Full)'!$B$6:$D$383,2,0)</f>
        <v>Rasel Mollah</v>
      </c>
      <c r="D139" s="278" t="str">
        <f>VLOOKUP(B139,'Salary -Dec-2024 (Full)'!$B$6:$D$383,3,0)</f>
        <v>Territory Manager</v>
      </c>
      <c r="E139" s="256" t="str">
        <f>VLOOKUP(B139,'Salary -Dec-2024 (Full)'!$B$6:$AE$383,4,0)</f>
        <v>S&amp;M</v>
      </c>
      <c r="F139" s="475">
        <f>VLOOKUP(B139,'Salary -Dec-2024 (Full)'!$B$6:$AE$383,5,0)</f>
        <v>45192</v>
      </c>
      <c r="G139" s="257">
        <f>VLOOKUP(B139,'Salary -Dec-2024 (Full)'!$B$6:$AE$383,6,0)</f>
        <v>31</v>
      </c>
      <c r="H139" s="258">
        <f>VLOOKUP(B139,'Salary -Dec-2024 (Full)'!$B$6:$AE$383,7,0)</f>
        <v>0</v>
      </c>
      <c r="I139" s="257">
        <f t="shared" si="371"/>
        <v>31</v>
      </c>
      <c r="J139" s="258">
        <f t="shared" si="372"/>
        <v>1290.3225806451612</v>
      </c>
      <c r="K139" s="72">
        <f>VLOOKUP(B139,'Salary -Dec-2024 (Full)'!$B$6:$AE$383,10,0)</f>
        <v>40000</v>
      </c>
      <c r="L139" s="72">
        <f t="shared" si="373"/>
        <v>24000</v>
      </c>
      <c r="M139" s="72">
        <f t="shared" si="374"/>
        <v>12000</v>
      </c>
      <c r="N139" s="72">
        <f t="shared" si="375"/>
        <v>2400</v>
      </c>
      <c r="O139" s="72">
        <f t="shared" si="376"/>
        <v>1600</v>
      </c>
      <c r="P139" s="259"/>
      <c r="Q139" s="260">
        <f t="shared" si="377"/>
        <v>40000</v>
      </c>
      <c r="R139" s="188">
        <f>VLOOKUP(B139,'Salary -Dec-2024 (Full)'!$B$6:$AE$383,17,0)</f>
        <v>40000</v>
      </c>
      <c r="S139" s="192">
        <f>VLOOKUP(B139,'Salary -Dec-2024 (Full)'!$B$6:$AE$383,18,0)</f>
        <v>0</v>
      </c>
      <c r="T139" s="192">
        <f>VLOOKUP(B139,'Salary -Dec-2024 (Full)'!$B$6:$AE$383,19,0)</f>
        <v>0</v>
      </c>
      <c r="U139" s="337">
        <f>VLOOKUP(B139,'Salary -Dec-2024 (Full)'!$B$6:$AE$383,20,0)</f>
        <v>0</v>
      </c>
      <c r="V139" s="263">
        <f t="shared" si="378"/>
        <v>40000</v>
      </c>
      <c r="W139" s="192">
        <f>VLOOKUP(B139,'Salary -Dec-2024 (Full)'!$B$6:$AE$383,22,0)</f>
        <v>0</v>
      </c>
      <c r="X139" s="192">
        <f>VLOOKUP(B139,'Salary -Dec-2024 (Full)'!$B$6:$AE$383,23,0)</f>
        <v>0</v>
      </c>
      <c r="Y139" s="337">
        <f>VLOOKUP(B139,'Salary -Dec-2024 (Full)'!$B$6:$AE$383,24,0)</f>
        <v>1200</v>
      </c>
      <c r="Z139" s="192">
        <f>VLOOKUP(B139,'Salary -Dec-2024 (Full)'!$B$6:$AE$383,25,0)</f>
        <v>2160</v>
      </c>
      <c r="AA139" s="192">
        <f>VLOOKUP(B139,'Salary -Dec-2024 (Full)'!$B$6:$AE$383,26,0)</f>
        <v>0</v>
      </c>
      <c r="AB139" s="384">
        <f t="shared" si="361"/>
        <v>3360</v>
      </c>
      <c r="AC139" s="193">
        <f t="shared" si="362"/>
        <v>36640</v>
      </c>
      <c r="AD139" s="264" t="str">
        <f>VLOOKUP(B139,'Salary -Dec-2024 (Full)'!$B$6:$AE$383,29,0)</f>
        <v>Bank</v>
      </c>
      <c r="AE139" s="264" t="str">
        <f>VLOOKUP(B139,'Salary -Dec-2024 (Full)'!$B$6:$AE$383,30,0)</f>
        <v>127.103.0185465</v>
      </c>
      <c r="AG139" s="61"/>
      <c r="AH139" s="183"/>
      <c r="AI139" s="319"/>
    </row>
    <row r="140" spans="1:35" s="47" customFormat="1" ht="33">
      <c r="A140" s="62">
        <v>34</v>
      </c>
      <c r="B140" s="254" t="s">
        <v>926</v>
      </c>
      <c r="C140" s="255" t="str">
        <f>VLOOKUP(B140,'Salary -Dec-2024 (Full)'!$B$6:$D$383,2,0)</f>
        <v>Md Abdus Muntakimu Islam</v>
      </c>
      <c r="D140" s="278" t="str">
        <f>VLOOKUP(B140,'Salary -Dec-2024 (Full)'!$B$6:$D$383,3,0)</f>
        <v>Sr. Territory Sales Officer</v>
      </c>
      <c r="E140" s="256" t="str">
        <f>VLOOKUP(B140,'Salary -Dec-2024 (Full)'!$B$6:$AE$383,4,0)</f>
        <v>S&amp;M</v>
      </c>
      <c r="F140" s="475">
        <f>VLOOKUP(B140,'Salary -Dec-2024 (Full)'!$B$6:$AE$383,5,0)</f>
        <v>45194</v>
      </c>
      <c r="G140" s="257">
        <f>VLOOKUP(B140,'Salary -Dec-2024 (Full)'!$B$6:$AE$383,6,0)</f>
        <v>31</v>
      </c>
      <c r="H140" s="258">
        <f>VLOOKUP(B140,'Salary -Dec-2024 (Full)'!$B$6:$AE$383,7,0)</f>
        <v>0</v>
      </c>
      <c r="I140" s="257">
        <f t="shared" si="371"/>
        <v>31</v>
      </c>
      <c r="J140" s="258">
        <f t="shared" si="372"/>
        <v>935.48387096774195</v>
      </c>
      <c r="K140" s="72">
        <f>VLOOKUP(B140,'Salary -Dec-2024 (Full)'!$B$6:$AE$383,10,0)</f>
        <v>29000</v>
      </c>
      <c r="L140" s="72">
        <f t="shared" si="373"/>
        <v>17400</v>
      </c>
      <c r="M140" s="72">
        <f t="shared" si="374"/>
        <v>8700</v>
      </c>
      <c r="N140" s="72">
        <f t="shared" si="375"/>
        <v>1740</v>
      </c>
      <c r="O140" s="72">
        <f t="shared" si="376"/>
        <v>1160</v>
      </c>
      <c r="P140" s="259"/>
      <c r="Q140" s="260">
        <f t="shared" si="377"/>
        <v>29000</v>
      </c>
      <c r="R140" s="188">
        <f>VLOOKUP(B140,'Salary -Dec-2024 (Full)'!$B$6:$AE$383,17,0)</f>
        <v>29000</v>
      </c>
      <c r="S140" s="192">
        <f>VLOOKUP(B140,'Salary -Dec-2024 (Full)'!$B$6:$AE$383,18,0)</f>
        <v>0</v>
      </c>
      <c r="T140" s="192">
        <f>VLOOKUP(B140,'Salary -Dec-2024 (Full)'!$B$6:$AE$383,19,0)</f>
        <v>0</v>
      </c>
      <c r="U140" s="337">
        <f>VLOOKUP(B140,'Salary -Dec-2024 (Full)'!$B$6:$AE$383,20,0)</f>
        <v>0</v>
      </c>
      <c r="V140" s="263">
        <f t="shared" si="378"/>
        <v>29000</v>
      </c>
      <c r="W140" s="192">
        <f>VLOOKUP(B140,'Salary -Dec-2024 (Full)'!$B$6:$AE$383,22,0)</f>
        <v>0</v>
      </c>
      <c r="X140" s="192">
        <f>VLOOKUP(B140,'Salary -Dec-2024 (Full)'!$B$6:$AE$383,23,0)</f>
        <v>0</v>
      </c>
      <c r="Y140" s="337">
        <f>VLOOKUP(B140,'Salary -Dec-2024 (Full)'!$B$6:$AE$383,24,0)</f>
        <v>870</v>
      </c>
      <c r="Z140" s="192">
        <f>VLOOKUP(B140,'Salary -Dec-2024 (Full)'!$B$6:$AE$383,25,0)</f>
        <v>2160</v>
      </c>
      <c r="AA140" s="192">
        <f>VLOOKUP(B140,'Salary -Dec-2024 (Full)'!$B$6:$AE$383,26,0)</f>
        <v>0</v>
      </c>
      <c r="AB140" s="384">
        <f t="shared" si="361"/>
        <v>3030</v>
      </c>
      <c r="AC140" s="193">
        <f t="shared" si="362"/>
        <v>25970</v>
      </c>
      <c r="AD140" s="264" t="str">
        <f>VLOOKUP(B140,'Salary -Dec-2024 (Full)'!$B$6:$AE$383,29,0)</f>
        <v>Bank</v>
      </c>
      <c r="AE140" s="264" t="str">
        <f>VLOOKUP(B140,'Salary -Dec-2024 (Full)'!$B$6:$AE$383,30,0)</f>
        <v>141.151.0216687</v>
      </c>
      <c r="AG140" s="61"/>
      <c r="AH140" s="183"/>
      <c r="AI140" s="319"/>
    </row>
    <row r="141" spans="1:35" s="47" customFormat="1" ht="21.75" customHeight="1">
      <c r="A141" s="253">
        <v>35</v>
      </c>
      <c r="B141" s="254" t="s">
        <v>929</v>
      </c>
      <c r="C141" s="255" t="str">
        <f>VLOOKUP(B141,'Salary -Dec-2024 (Full)'!$B$6:$D$383,2,0)</f>
        <v>Manuel Halder</v>
      </c>
      <c r="D141" s="278" t="str">
        <f>VLOOKUP(B141,'Salary -Dec-2024 (Full)'!$B$6:$D$383,3,0)</f>
        <v>Territory Manager</v>
      </c>
      <c r="E141" s="256" t="str">
        <f>VLOOKUP(B141,'Salary -Dec-2024 (Full)'!$B$6:$AE$383,4,0)</f>
        <v>S&amp;M</v>
      </c>
      <c r="F141" s="475">
        <f>VLOOKUP(B141,'Salary -Dec-2024 (Full)'!$B$6:$AE$383,5,0)</f>
        <v>45199</v>
      </c>
      <c r="G141" s="257">
        <f>VLOOKUP(B141,'Salary -Dec-2024 (Full)'!$B$6:$AE$383,6,0)</f>
        <v>31</v>
      </c>
      <c r="H141" s="258">
        <f>VLOOKUP(B141,'Salary -Dec-2024 (Full)'!$B$6:$AE$383,7,0)</f>
        <v>0</v>
      </c>
      <c r="I141" s="257">
        <f t="shared" si="371"/>
        <v>31</v>
      </c>
      <c r="J141" s="258">
        <f t="shared" si="372"/>
        <v>1193.5483870967741</v>
      </c>
      <c r="K141" s="72">
        <f>VLOOKUP(B141,'Salary -Dec-2024 (Full)'!$B$6:$AE$383,10,0)</f>
        <v>37000</v>
      </c>
      <c r="L141" s="72">
        <f t="shared" si="373"/>
        <v>22200</v>
      </c>
      <c r="M141" s="72">
        <f t="shared" si="374"/>
        <v>11100</v>
      </c>
      <c r="N141" s="72">
        <f t="shared" si="375"/>
        <v>2220</v>
      </c>
      <c r="O141" s="72">
        <f t="shared" si="376"/>
        <v>1480</v>
      </c>
      <c r="P141" s="259"/>
      <c r="Q141" s="260">
        <f t="shared" si="377"/>
        <v>37000</v>
      </c>
      <c r="R141" s="188">
        <f>VLOOKUP(B141,'Salary -Dec-2024 (Full)'!$B$6:$AE$383,17,0)</f>
        <v>37000</v>
      </c>
      <c r="S141" s="192">
        <f>VLOOKUP(B141,'Salary -Dec-2024 (Full)'!$B$6:$AE$383,18,0)</f>
        <v>0</v>
      </c>
      <c r="T141" s="192">
        <f>VLOOKUP(B141,'Salary -Dec-2024 (Full)'!$B$6:$AE$383,19,0)</f>
        <v>0</v>
      </c>
      <c r="U141" s="337">
        <f>VLOOKUP(B141,'Salary -Dec-2024 (Full)'!$B$6:$AE$383,20,0)</f>
        <v>0</v>
      </c>
      <c r="V141" s="263">
        <f t="shared" si="378"/>
        <v>37000</v>
      </c>
      <c r="W141" s="192">
        <f>VLOOKUP(B141,'Salary -Dec-2024 (Full)'!$B$6:$AE$383,22,0)</f>
        <v>0</v>
      </c>
      <c r="X141" s="192">
        <f>VLOOKUP(B141,'Salary -Dec-2024 (Full)'!$B$6:$AE$383,23,0)</f>
        <v>0</v>
      </c>
      <c r="Y141" s="337">
        <f>VLOOKUP(B141,'Salary -Dec-2024 (Full)'!$B$6:$AE$383,24,0)</f>
        <v>1110</v>
      </c>
      <c r="Z141" s="192">
        <f>VLOOKUP(B141,'Salary -Dec-2024 (Full)'!$B$6:$AE$383,25,0)</f>
        <v>2160</v>
      </c>
      <c r="AA141" s="192">
        <f>VLOOKUP(B141,'Salary -Dec-2024 (Full)'!$B$6:$AE$383,26,0)</f>
        <v>0</v>
      </c>
      <c r="AB141" s="384">
        <f t="shared" si="361"/>
        <v>3270</v>
      </c>
      <c r="AC141" s="193">
        <f t="shared" si="362"/>
        <v>33730</v>
      </c>
      <c r="AD141" s="264" t="str">
        <f>VLOOKUP(B141,'Salary -Dec-2024 (Full)'!$B$6:$AE$383,29,0)</f>
        <v>Bank</v>
      </c>
      <c r="AE141" s="264" t="str">
        <f>VLOOKUP(B141,'Salary -Dec-2024 (Full)'!$B$6:$AE$383,30,0)</f>
        <v>103.103.1247916</v>
      </c>
      <c r="AG141" s="61"/>
      <c r="AH141" s="183"/>
      <c r="AI141" s="319"/>
    </row>
    <row r="142" spans="1:35" s="47" customFormat="1" ht="21.75" customHeight="1">
      <c r="A142" s="62">
        <v>36</v>
      </c>
      <c r="B142" s="254" t="s">
        <v>952</v>
      </c>
      <c r="C142" s="255" t="str">
        <f>VLOOKUP(B142,'Salary -Dec-2024 (Full)'!$B$6:$D$383,2,0)</f>
        <v>Md Hasnatul Alam</v>
      </c>
      <c r="D142" s="278" t="str">
        <f>VLOOKUP(B142,'Salary -Dec-2024 (Full)'!$B$6:$D$383,3,0)</f>
        <v>Territory Manager</v>
      </c>
      <c r="E142" s="256" t="str">
        <f>VLOOKUP(B142,'Salary -Dec-2024 (Full)'!$B$6:$AE$383,4,0)</f>
        <v>S&amp;M</v>
      </c>
      <c r="F142" s="475">
        <f>VLOOKUP(B142,'Salary -Dec-2024 (Full)'!$B$6:$AE$383,5,0)</f>
        <v>45206</v>
      </c>
      <c r="G142" s="257">
        <f>VLOOKUP(B142,'Salary -Dec-2024 (Full)'!$B$6:$AE$383,6,0)</f>
        <v>31</v>
      </c>
      <c r="H142" s="258">
        <f>VLOOKUP(B142,'Salary -Dec-2024 (Full)'!$B$6:$AE$383,7,0)</f>
        <v>0</v>
      </c>
      <c r="I142" s="257">
        <f t="shared" ref="I142:I143" si="379">G142-H142</f>
        <v>31</v>
      </c>
      <c r="J142" s="258">
        <f t="shared" ref="J142:J143" si="380">Q142/G142</f>
        <v>1077.4193548387098</v>
      </c>
      <c r="K142" s="72">
        <f>VLOOKUP(B142,'Salary -Dec-2024 (Full)'!$B$6:$AE$383,10,0)</f>
        <v>33400</v>
      </c>
      <c r="L142" s="72">
        <f t="shared" ref="L142:L143" si="381">K142*60%</f>
        <v>20040</v>
      </c>
      <c r="M142" s="72">
        <f t="shared" ref="M142:M143" si="382">K142*30%</f>
        <v>10020</v>
      </c>
      <c r="N142" s="72">
        <f t="shared" ref="N142:N143" si="383">K142*6%</f>
        <v>2004</v>
      </c>
      <c r="O142" s="72">
        <f t="shared" ref="O142:O143" si="384">K142*4%</f>
        <v>1336</v>
      </c>
      <c r="P142" s="259"/>
      <c r="Q142" s="260">
        <f t="shared" ref="Q142:Q143" si="385">SUM(L142:P142)</f>
        <v>33400</v>
      </c>
      <c r="R142" s="188">
        <f>VLOOKUP(B142,'Salary -Dec-2024 (Full)'!$B$6:$AE$383,17,0)</f>
        <v>33400</v>
      </c>
      <c r="S142" s="192">
        <f>VLOOKUP(B142,'Salary -Dec-2024 (Full)'!$B$6:$AE$383,18,0)</f>
        <v>0</v>
      </c>
      <c r="T142" s="192">
        <f>VLOOKUP(B142,'Salary -Dec-2024 (Full)'!$B$6:$AE$383,19,0)</f>
        <v>0</v>
      </c>
      <c r="U142" s="337">
        <f>VLOOKUP(B142,'Salary -Dec-2024 (Full)'!$B$6:$AE$383,20,0)</f>
        <v>0</v>
      </c>
      <c r="V142" s="263">
        <f t="shared" ref="V142:V143" si="386">SUM(R142:U142)</f>
        <v>33400</v>
      </c>
      <c r="W142" s="192">
        <f>VLOOKUP(B142,'Salary -Dec-2024 (Full)'!$B$6:$AE$383,22,0)</f>
        <v>0</v>
      </c>
      <c r="X142" s="192">
        <f>VLOOKUP(B142,'Salary -Dec-2024 (Full)'!$B$6:$AE$383,23,0)</f>
        <v>0</v>
      </c>
      <c r="Y142" s="337">
        <f>VLOOKUP(B142,'Salary -Dec-2024 (Full)'!$B$6:$AE$383,24,0)</f>
        <v>1002</v>
      </c>
      <c r="Z142" s="192">
        <f>VLOOKUP(B142,'Salary -Dec-2024 (Full)'!$B$6:$AE$383,25,0)</f>
        <v>2160</v>
      </c>
      <c r="AA142" s="192">
        <f>VLOOKUP(B142,'Salary -Dec-2024 (Full)'!$B$6:$AE$383,26,0)</f>
        <v>0</v>
      </c>
      <c r="AB142" s="384">
        <f t="shared" si="361"/>
        <v>3162</v>
      </c>
      <c r="AC142" s="193">
        <f t="shared" si="362"/>
        <v>30238</v>
      </c>
      <c r="AD142" s="264" t="str">
        <f>VLOOKUP(B142,'Salary -Dec-2024 (Full)'!$B$6:$AE$383,29,0)</f>
        <v>Bank</v>
      </c>
      <c r="AE142" s="264" t="str">
        <f>VLOOKUP(B142,'Salary -Dec-2024 (Full)'!$B$6:$AE$383,30,0)</f>
        <v>290.158.0021868</v>
      </c>
      <c r="AG142" s="61"/>
      <c r="AH142" s="183"/>
      <c r="AI142" s="319"/>
    </row>
    <row r="143" spans="1:35" s="47" customFormat="1" ht="33">
      <c r="A143" s="253">
        <v>37</v>
      </c>
      <c r="B143" s="254" t="s">
        <v>955</v>
      </c>
      <c r="C143" s="255" t="str">
        <f>VLOOKUP(B143,'Salary -Dec-2024 (Full)'!$B$6:$D$383,2,0)</f>
        <v>Md Ashraful Islam</v>
      </c>
      <c r="D143" s="278" t="str">
        <f>VLOOKUP(B143,'Salary -Dec-2024 (Full)'!$B$6:$D$383,3,0)</f>
        <v>Sr. Territory Sales Officer</v>
      </c>
      <c r="E143" s="256" t="str">
        <f>VLOOKUP(B143,'Salary -Dec-2024 (Full)'!$B$6:$AE$383,4,0)</f>
        <v>S&amp;M</v>
      </c>
      <c r="F143" s="475">
        <f>VLOOKUP(B143,'Salary -Dec-2024 (Full)'!$B$6:$AE$383,5,0)</f>
        <v>45209</v>
      </c>
      <c r="G143" s="257">
        <f>VLOOKUP(B143,'Salary -Dec-2024 (Full)'!$B$6:$AE$383,6,0)</f>
        <v>31</v>
      </c>
      <c r="H143" s="258">
        <f>VLOOKUP(B143,'Salary -Dec-2024 (Full)'!$B$6:$AE$383,7,0)</f>
        <v>0</v>
      </c>
      <c r="I143" s="257">
        <f t="shared" si="379"/>
        <v>31</v>
      </c>
      <c r="J143" s="258">
        <f t="shared" si="380"/>
        <v>1032.258064516129</v>
      </c>
      <c r="K143" s="72">
        <f>VLOOKUP(B143,'Salary -Dec-2024 (Full)'!$B$6:$AE$383,10,0)</f>
        <v>32000</v>
      </c>
      <c r="L143" s="72">
        <f t="shared" si="381"/>
        <v>19200</v>
      </c>
      <c r="M143" s="72">
        <f t="shared" si="382"/>
        <v>9600</v>
      </c>
      <c r="N143" s="72">
        <f t="shared" si="383"/>
        <v>1920</v>
      </c>
      <c r="O143" s="72">
        <f t="shared" si="384"/>
        <v>1280</v>
      </c>
      <c r="P143" s="259"/>
      <c r="Q143" s="260">
        <f t="shared" si="385"/>
        <v>32000</v>
      </c>
      <c r="R143" s="188">
        <f>VLOOKUP(B143,'Salary -Dec-2024 (Full)'!$B$6:$AE$383,17,0)</f>
        <v>32000</v>
      </c>
      <c r="S143" s="192">
        <f>VLOOKUP(B143,'Salary -Dec-2024 (Full)'!$B$6:$AE$383,18,0)</f>
        <v>0</v>
      </c>
      <c r="T143" s="192">
        <f>VLOOKUP(B143,'Salary -Dec-2024 (Full)'!$B$6:$AE$383,19,0)</f>
        <v>0</v>
      </c>
      <c r="U143" s="337">
        <f>VLOOKUP(B143,'Salary -Dec-2024 (Full)'!$B$6:$AE$383,20,0)</f>
        <v>0</v>
      </c>
      <c r="V143" s="263">
        <f t="shared" si="386"/>
        <v>32000</v>
      </c>
      <c r="W143" s="192">
        <f>VLOOKUP(B143,'Salary -Dec-2024 (Full)'!$B$6:$AE$383,22,0)</f>
        <v>0</v>
      </c>
      <c r="X143" s="192">
        <f>VLOOKUP(B143,'Salary -Dec-2024 (Full)'!$B$6:$AE$383,23,0)</f>
        <v>0</v>
      </c>
      <c r="Y143" s="337">
        <f>VLOOKUP(B143,'Salary -Dec-2024 (Full)'!$B$6:$AE$383,24,0)</f>
        <v>960</v>
      </c>
      <c r="Z143" s="192">
        <f>VLOOKUP(B143,'Salary -Dec-2024 (Full)'!$B$6:$AE$383,25,0)</f>
        <v>2160</v>
      </c>
      <c r="AA143" s="192">
        <f>VLOOKUP(B143,'Salary -Dec-2024 (Full)'!$B$6:$AE$383,26,0)</f>
        <v>0</v>
      </c>
      <c r="AB143" s="384">
        <f t="shared" ref="AB143:AB156" si="387">SUM(W143:AA143)</f>
        <v>3120</v>
      </c>
      <c r="AC143" s="193">
        <f t="shared" ref="AC143:AC156" si="388">ROUND(V143-AB143,0)</f>
        <v>28880</v>
      </c>
      <c r="AD143" s="264" t="str">
        <f>VLOOKUP(B143,'Salary -Dec-2024 (Full)'!$B$6:$AE$383,29,0)</f>
        <v>Bank</v>
      </c>
      <c r="AE143" s="264" t="str">
        <f>VLOOKUP(B143,'Salary -Dec-2024 (Full)'!$B$6:$AE$383,30,0)</f>
        <v>103.103.1143715</v>
      </c>
      <c r="AG143" s="61"/>
      <c r="AH143" s="183"/>
      <c r="AI143" s="319"/>
    </row>
    <row r="144" spans="1:35" s="47" customFormat="1" ht="33">
      <c r="A144" s="62">
        <v>38</v>
      </c>
      <c r="B144" s="254" t="s">
        <v>1069</v>
      </c>
      <c r="C144" s="255" t="str">
        <f>VLOOKUP(B144,'Salary -Dec-2024 (Full)'!$B$6:$D$383,2,0)</f>
        <v>Lablu Answeri</v>
      </c>
      <c r="D144" s="278" t="str">
        <f>VLOOKUP(B144,'Salary -Dec-2024 (Full)'!$B$6:$D$383,3,0)</f>
        <v>Assistant Territory Sales officer</v>
      </c>
      <c r="E144" s="256" t="str">
        <f>VLOOKUP(B144,'Salary -Dec-2024 (Full)'!$B$6:$AE$383,4,0)</f>
        <v>S&amp;M</v>
      </c>
      <c r="F144" s="475">
        <f>VLOOKUP(B144,'Salary -Dec-2024 (Full)'!$B$6:$AE$383,5,0)</f>
        <v>45231</v>
      </c>
      <c r="G144" s="257">
        <f>VLOOKUP(B144,'Salary -Dec-2024 (Full)'!$B$6:$AE$383,6,0)</f>
        <v>31</v>
      </c>
      <c r="H144" s="258">
        <f>VLOOKUP(B144,'Salary -Dec-2024 (Full)'!$B$6:$AE$383,7,0)</f>
        <v>0</v>
      </c>
      <c r="I144" s="257">
        <f t="shared" ref="I144" si="389">G144-H144</f>
        <v>31</v>
      </c>
      <c r="J144" s="258">
        <f t="shared" ref="J144" si="390">Q144/G144</f>
        <v>645.16129032258061</v>
      </c>
      <c r="K144" s="72">
        <f>VLOOKUP(B144,'Salary -Dec-2024 (Full)'!$B$6:$AE$383,10,0)</f>
        <v>20000</v>
      </c>
      <c r="L144" s="72">
        <f t="shared" ref="L144" si="391">K144*60%</f>
        <v>12000</v>
      </c>
      <c r="M144" s="72">
        <f t="shared" ref="M144" si="392">K144*30%</f>
        <v>6000</v>
      </c>
      <c r="N144" s="72">
        <f t="shared" ref="N144" si="393">K144*6%</f>
        <v>1200</v>
      </c>
      <c r="O144" s="72">
        <f t="shared" ref="O144" si="394">K144*4%</f>
        <v>800</v>
      </c>
      <c r="P144" s="259"/>
      <c r="Q144" s="260">
        <f t="shared" ref="Q144" si="395">SUM(L144:P144)</f>
        <v>20000</v>
      </c>
      <c r="R144" s="188">
        <f>VLOOKUP(B144,'Salary -Dec-2024 (Full)'!$B$6:$AE$383,17,0)</f>
        <v>20000</v>
      </c>
      <c r="S144" s="192">
        <f>VLOOKUP(B144,'Salary -Dec-2024 (Full)'!$B$6:$AE$383,18,0)</f>
        <v>0</v>
      </c>
      <c r="T144" s="192">
        <f>VLOOKUP(B144,'Salary -Dec-2024 (Full)'!$B$6:$AE$383,19,0)</f>
        <v>0</v>
      </c>
      <c r="U144" s="337">
        <f>VLOOKUP(B144,'Salary -Dec-2024 (Full)'!$B$6:$AE$383,20,0)</f>
        <v>0</v>
      </c>
      <c r="V144" s="263">
        <f t="shared" ref="V144" si="396">SUM(R144:U144)</f>
        <v>20000</v>
      </c>
      <c r="W144" s="192">
        <f>VLOOKUP(B144,'Salary -Dec-2024 (Full)'!$B$6:$AE$383,22,0)</f>
        <v>0</v>
      </c>
      <c r="X144" s="192">
        <f>VLOOKUP(B144,'Salary -Dec-2024 (Full)'!$B$6:$AE$383,23,0)</f>
        <v>0</v>
      </c>
      <c r="Y144" s="337">
        <f>VLOOKUP(B144,'Salary -Dec-2024 (Full)'!$B$6:$AE$383,24,0)</f>
        <v>600</v>
      </c>
      <c r="Z144" s="192">
        <f>VLOOKUP(B144,'Salary -Dec-2024 (Full)'!$B$6:$AE$383,25,0)</f>
        <v>2116</v>
      </c>
      <c r="AA144" s="192">
        <f>VLOOKUP(B144,'Salary -Dec-2024 (Full)'!$B$6:$AE$383,26,0)</f>
        <v>0</v>
      </c>
      <c r="AB144" s="384">
        <f t="shared" si="387"/>
        <v>2716</v>
      </c>
      <c r="AC144" s="193">
        <f t="shared" si="388"/>
        <v>17284</v>
      </c>
      <c r="AD144" s="264" t="str">
        <f>VLOOKUP(B144,'Salary -Dec-2024 (Full)'!$B$6:$AE$383,29,0)</f>
        <v>Bank</v>
      </c>
      <c r="AE144" s="264" t="str">
        <f>VLOOKUP(B144,'Salary -Dec-2024 (Full)'!$B$6:$AE$383,30,0)</f>
        <v>107.151.0121369</v>
      </c>
      <c r="AG144" s="61"/>
      <c r="AH144" s="183"/>
      <c r="AI144" s="319"/>
    </row>
    <row r="145" spans="1:35" s="47" customFormat="1" ht="33">
      <c r="A145" s="253">
        <v>39</v>
      </c>
      <c r="B145" s="254" t="s">
        <v>1364</v>
      </c>
      <c r="C145" s="255" t="str">
        <f>VLOOKUP(B145,'Salary -Dec-2024 (Full)'!$B$6:$D$383,2,0)</f>
        <v>Md Gias Uddin</v>
      </c>
      <c r="D145" s="278" t="str">
        <f>VLOOKUP(B145,'Salary -Dec-2024 (Full)'!$B$6:$D$383,3,0)</f>
        <v>Sr. Territory Manager</v>
      </c>
      <c r="E145" s="256" t="str">
        <f>VLOOKUP(B145,'Salary -Dec-2024 (Full)'!$B$6:$AE$383,4,0)</f>
        <v>S&amp;M</v>
      </c>
      <c r="F145" s="475">
        <f>VLOOKUP(B145,'Salary -Dec-2024 (Full)'!$B$6:$AE$383,5,0)</f>
        <v>45234</v>
      </c>
      <c r="G145" s="257">
        <f>VLOOKUP(B145,'Salary -Dec-2024 (Full)'!$B$6:$AE$383,6,0)</f>
        <v>31</v>
      </c>
      <c r="H145" s="258">
        <f>VLOOKUP(B145,'Salary -Dec-2024 (Full)'!$B$6:$AE$383,7,0)</f>
        <v>0</v>
      </c>
      <c r="I145" s="257">
        <f t="shared" ref="I145:I146" si="397">G145-H145</f>
        <v>31</v>
      </c>
      <c r="J145" s="258">
        <f t="shared" ref="J145:J146" si="398">Q145/G145</f>
        <v>1129.0322580645161</v>
      </c>
      <c r="K145" s="72">
        <f>VLOOKUP(B145,'Salary -Dec-2024 (Full)'!$B$6:$AE$383,10,0)</f>
        <v>35000</v>
      </c>
      <c r="L145" s="72">
        <f t="shared" ref="L145:L146" si="399">K145*60%</f>
        <v>21000</v>
      </c>
      <c r="M145" s="72">
        <f t="shared" ref="M145:M146" si="400">K145*30%</f>
        <v>10500</v>
      </c>
      <c r="N145" s="72">
        <f t="shared" ref="N145:N146" si="401">K145*6%</f>
        <v>2100</v>
      </c>
      <c r="O145" s="72">
        <f t="shared" ref="O145:O146" si="402">K145*4%</f>
        <v>1400</v>
      </c>
      <c r="P145" s="259"/>
      <c r="Q145" s="260">
        <f t="shared" ref="Q145:Q146" si="403">SUM(L145:P145)</f>
        <v>35000</v>
      </c>
      <c r="R145" s="188">
        <f>VLOOKUP(B145,'Salary -Dec-2024 (Full)'!$B$6:$AE$383,17,0)</f>
        <v>35000</v>
      </c>
      <c r="S145" s="192">
        <f>VLOOKUP(B145,'Salary -Dec-2024 (Full)'!$B$6:$AE$383,18,0)</f>
        <v>0</v>
      </c>
      <c r="T145" s="192">
        <f>VLOOKUP(B145,'Salary -Dec-2024 (Full)'!$B$6:$AE$383,19,0)</f>
        <v>0</v>
      </c>
      <c r="U145" s="337">
        <f>VLOOKUP(B145,'Salary -Dec-2024 (Full)'!$B$6:$AE$383,20,0)</f>
        <v>0</v>
      </c>
      <c r="V145" s="263">
        <f t="shared" ref="V145:V146" si="404">SUM(R145:U145)</f>
        <v>35000</v>
      </c>
      <c r="W145" s="192">
        <f>VLOOKUP(B145,'Salary -Dec-2024 (Full)'!$B$6:$AE$383,22,0)</f>
        <v>0</v>
      </c>
      <c r="X145" s="192">
        <f>VLOOKUP(B145,'Salary -Dec-2024 (Full)'!$B$6:$AE$383,23,0)</f>
        <v>0</v>
      </c>
      <c r="Y145" s="337">
        <f>VLOOKUP(B145,'Salary -Dec-2024 (Full)'!$B$6:$AE$383,24,0)</f>
        <v>1050</v>
      </c>
      <c r="Z145" s="192">
        <f>VLOOKUP(B145,'Salary -Dec-2024 (Full)'!$B$6:$AE$383,25,0)</f>
        <v>0</v>
      </c>
      <c r="AA145" s="192">
        <f>VLOOKUP(B145,'Salary -Dec-2024 (Full)'!$B$6:$AE$383,26,0)</f>
        <v>0</v>
      </c>
      <c r="AB145" s="384">
        <f t="shared" ref="AB145:AB146" si="405">SUM(W145:AA145)</f>
        <v>1050</v>
      </c>
      <c r="AC145" s="193">
        <f t="shared" ref="AC145:AC146" si="406">ROUND(V145-AB145,0)</f>
        <v>33950</v>
      </c>
      <c r="AD145" s="264" t="str">
        <f>VLOOKUP(B145,'Salary -Dec-2024 (Full)'!$B$6:$AE$383,29,0)</f>
        <v>Bank</v>
      </c>
      <c r="AE145" s="264" t="str">
        <f>VLOOKUP(B145,'Salary -Dec-2024 (Full)'!$B$6:$AE$383,30,0)</f>
        <v>169.158.0076132</v>
      </c>
      <c r="AG145" s="61"/>
      <c r="AH145" s="183"/>
      <c r="AI145" s="319"/>
    </row>
    <row r="146" spans="1:35" s="47" customFormat="1" ht="33">
      <c r="A146" s="62">
        <v>40</v>
      </c>
      <c r="B146" s="254" t="s">
        <v>1073</v>
      </c>
      <c r="C146" s="255" t="str">
        <f>VLOOKUP(B146,'Salary -Dec-2024 (Full)'!$B$6:$D$383,2,0)</f>
        <v>Uttam Kumar Roy</v>
      </c>
      <c r="D146" s="278" t="str">
        <f>VLOOKUP(B146,'Salary -Dec-2024 (Full)'!$B$6:$D$383,3,0)</f>
        <v>Sr. Territory Sales Officer</v>
      </c>
      <c r="E146" s="256" t="str">
        <f>VLOOKUP(B146,'Salary -Dec-2024 (Full)'!$B$6:$AE$383,4,0)</f>
        <v>S&amp;M</v>
      </c>
      <c r="F146" s="475">
        <f>VLOOKUP(B146,'Salary -Dec-2024 (Full)'!$B$6:$AE$383,5,0)</f>
        <v>45231</v>
      </c>
      <c r="G146" s="257">
        <f>VLOOKUP(B146,'Salary -Dec-2024 (Full)'!$B$6:$AE$383,6,0)</f>
        <v>31</v>
      </c>
      <c r="H146" s="258">
        <f>VLOOKUP(B146,'Salary -Dec-2024 (Full)'!$B$6:$AE$383,7,0)</f>
        <v>0</v>
      </c>
      <c r="I146" s="257">
        <f t="shared" si="397"/>
        <v>31</v>
      </c>
      <c r="J146" s="258">
        <f t="shared" si="398"/>
        <v>806.45161290322585</v>
      </c>
      <c r="K146" s="72">
        <f>VLOOKUP(B146,'Salary -Dec-2024 (Full)'!$B$6:$AE$383,10,0)</f>
        <v>25000</v>
      </c>
      <c r="L146" s="72">
        <f t="shared" si="399"/>
        <v>15000</v>
      </c>
      <c r="M146" s="72">
        <f t="shared" si="400"/>
        <v>7500</v>
      </c>
      <c r="N146" s="72">
        <f t="shared" si="401"/>
        <v>1500</v>
      </c>
      <c r="O146" s="72">
        <f t="shared" si="402"/>
        <v>1000</v>
      </c>
      <c r="P146" s="259"/>
      <c r="Q146" s="260">
        <f t="shared" si="403"/>
        <v>25000</v>
      </c>
      <c r="R146" s="188">
        <f>VLOOKUP(B146,'Salary -Dec-2024 (Full)'!$B$6:$AE$383,17,0)</f>
        <v>25000</v>
      </c>
      <c r="S146" s="192">
        <f>VLOOKUP(B146,'Salary -Dec-2024 (Full)'!$B$6:$AE$383,18,0)</f>
        <v>0</v>
      </c>
      <c r="T146" s="192">
        <f>VLOOKUP(B146,'Salary -Dec-2024 (Full)'!$B$6:$AE$383,19,0)</f>
        <v>0</v>
      </c>
      <c r="U146" s="337">
        <f>VLOOKUP(B146,'Salary -Dec-2024 (Full)'!$B$6:$AE$383,20,0)</f>
        <v>0</v>
      </c>
      <c r="V146" s="263">
        <f t="shared" si="404"/>
        <v>25000</v>
      </c>
      <c r="W146" s="192">
        <f>VLOOKUP(B146,'Salary -Dec-2024 (Full)'!$B$6:$AE$383,22,0)</f>
        <v>0</v>
      </c>
      <c r="X146" s="192">
        <f>VLOOKUP(B146,'Salary -Dec-2024 (Full)'!$B$6:$AE$383,23,0)</f>
        <v>0</v>
      </c>
      <c r="Y146" s="337">
        <f>VLOOKUP(B146,'Salary -Dec-2024 (Full)'!$B$6:$AE$383,24,0)</f>
        <v>750</v>
      </c>
      <c r="Z146" s="192">
        <f>VLOOKUP(B146,'Salary -Dec-2024 (Full)'!$B$6:$AE$383,25,0)</f>
        <v>842</v>
      </c>
      <c r="AA146" s="192">
        <f>VLOOKUP(B146,'Salary -Dec-2024 (Full)'!$B$6:$AE$383,26,0)</f>
        <v>0</v>
      </c>
      <c r="AB146" s="384">
        <f t="shared" si="405"/>
        <v>1592</v>
      </c>
      <c r="AC146" s="193">
        <f t="shared" si="406"/>
        <v>23408</v>
      </c>
      <c r="AD146" s="264" t="str">
        <f>VLOOKUP(B146,'Salary -Dec-2024 (Full)'!$B$6:$AE$383,29,0)</f>
        <v>Bank</v>
      </c>
      <c r="AE146" s="264" t="str">
        <f>VLOOKUP(B146,'Salary -Dec-2024 (Full)'!$B$6:$AE$383,30,0)</f>
        <v>191.103.0201739</v>
      </c>
      <c r="AG146" s="61"/>
      <c r="AH146" s="183"/>
      <c r="AI146" s="319"/>
    </row>
    <row r="147" spans="1:35" s="47" customFormat="1" ht="27" customHeight="1">
      <c r="A147" s="253">
        <v>41</v>
      </c>
      <c r="B147" s="254" t="s">
        <v>1112</v>
      </c>
      <c r="C147" s="255" t="str">
        <f>VLOOKUP(B147,'Salary -Dec-2024 (Full)'!$B$6:$D$383,2,0)</f>
        <v>Md Nayeem Akhter</v>
      </c>
      <c r="D147" s="278" t="str">
        <f>VLOOKUP(B147,'Salary -Dec-2024 (Full)'!$B$6:$D$383,3,0)</f>
        <v>Deputy Manager</v>
      </c>
      <c r="E147" s="256" t="str">
        <f>VLOOKUP(B147,'Salary -Dec-2024 (Full)'!$B$6:$AE$383,4,0)</f>
        <v>S&amp;M</v>
      </c>
      <c r="F147" s="475">
        <f>VLOOKUP(B147,'Salary -Dec-2024 (Full)'!$B$6:$AE$383,5,0)</f>
        <v>45262</v>
      </c>
      <c r="G147" s="257">
        <f>VLOOKUP(B147,'Salary -Dec-2024 (Full)'!$B$6:$AE$383,6,0)</f>
        <v>31</v>
      </c>
      <c r="H147" s="258">
        <f>VLOOKUP(B147,'Salary -Dec-2024 (Full)'!$B$6:$AE$383,7,0)</f>
        <v>0</v>
      </c>
      <c r="I147" s="257">
        <f t="shared" ref="I147" si="407">G147-H147</f>
        <v>31</v>
      </c>
      <c r="J147" s="258">
        <f t="shared" ref="J147" si="408">Q147/G147</f>
        <v>1935.483870967742</v>
      </c>
      <c r="K147" s="72">
        <f>VLOOKUP(B147,'Salary -Dec-2024 (Full)'!$B$6:$AE$383,10,0)</f>
        <v>60000</v>
      </c>
      <c r="L147" s="72">
        <f t="shared" ref="L147" si="409">K147*60%</f>
        <v>36000</v>
      </c>
      <c r="M147" s="72">
        <f t="shared" ref="M147" si="410">K147*30%</f>
        <v>18000</v>
      </c>
      <c r="N147" s="72">
        <f t="shared" ref="N147" si="411">K147*6%</f>
        <v>3600</v>
      </c>
      <c r="O147" s="72">
        <f t="shared" ref="O147" si="412">K147*4%</f>
        <v>2400</v>
      </c>
      <c r="P147" s="259"/>
      <c r="Q147" s="260">
        <f t="shared" ref="Q147" si="413">SUM(L147:P147)</f>
        <v>60000</v>
      </c>
      <c r="R147" s="188">
        <f>VLOOKUP(B147,'Salary -Dec-2024 (Full)'!$B$6:$AE$383,17,0)</f>
        <v>60000</v>
      </c>
      <c r="S147" s="192">
        <f>VLOOKUP(B147,'Salary -Dec-2024 (Full)'!$B$6:$AE$383,18,0)</f>
        <v>0</v>
      </c>
      <c r="T147" s="192">
        <f>VLOOKUP(B147,'Salary -Dec-2024 (Full)'!$B$6:$AE$383,19,0)</f>
        <v>0</v>
      </c>
      <c r="U147" s="337">
        <f>VLOOKUP(B147,'Salary -Dec-2024 (Full)'!$B$6:$AE$383,20,0)</f>
        <v>0</v>
      </c>
      <c r="V147" s="263">
        <f t="shared" ref="V147" si="414">SUM(R147:U147)</f>
        <v>60000</v>
      </c>
      <c r="W147" s="192">
        <f>VLOOKUP(B147,'Salary -Dec-2024 (Full)'!$B$6:$AE$383,22,0)</f>
        <v>417</v>
      </c>
      <c r="X147" s="192">
        <f>VLOOKUP(B147,'Salary -Dec-2024 (Full)'!$B$6:$AE$383,23,0)</f>
        <v>375</v>
      </c>
      <c r="Y147" s="337">
        <f>VLOOKUP(B147,'Salary -Dec-2024 (Full)'!$B$6:$AE$383,24,0)</f>
        <v>1800</v>
      </c>
      <c r="Z147" s="192">
        <f>VLOOKUP(B147,'Salary -Dec-2024 (Full)'!$B$6:$AE$383,25,0)</f>
        <v>0</v>
      </c>
      <c r="AA147" s="192">
        <f>VLOOKUP(B147,'Salary -Dec-2024 (Full)'!$B$6:$AE$383,26,0)</f>
        <v>0</v>
      </c>
      <c r="AB147" s="384">
        <f t="shared" si="387"/>
        <v>2592</v>
      </c>
      <c r="AC147" s="193">
        <f t="shared" si="388"/>
        <v>57408</v>
      </c>
      <c r="AD147" s="264" t="str">
        <f>VLOOKUP(B147,'Salary -Dec-2024 (Full)'!$B$6:$AE$383,29,0)</f>
        <v>Bank</v>
      </c>
      <c r="AE147" s="264" t="str">
        <f>VLOOKUP(B147,'Salary -Dec-2024 (Full)'!$B$6:$AE$383,30,0)</f>
        <v>148.158.0045395</v>
      </c>
      <c r="AG147" s="61"/>
      <c r="AH147" s="183"/>
      <c r="AI147" s="319"/>
    </row>
    <row r="148" spans="1:35" s="47" customFormat="1" ht="33">
      <c r="A148" s="62">
        <v>42</v>
      </c>
      <c r="B148" s="254" t="s">
        <v>1172</v>
      </c>
      <c r="C148" s="255" t="str">
        <f>VLOOKUP(B148,'Salary -Dec-2024 (Full)'!$B$6:$D$383,2,0)</f>
        <v>Md Golam Sorower</v>
      </c>
      <c r="D148" s="278" t="str">
        <f>VLOOKUP(B148,'Salary -Dec-2024 (Full)'!$B$6:$D$383,3,0)</f>
        <v>Sr. Territory Sales Officer</v>
      </c>
      <c r="E148" s="256" t="str">
        <f>VLOOKUP(B148,'Salary -Dec-2024 (Full)'!$B$6:$AE$383,4,0)</f>
        <v>S&amp;M</v>
      </c>
      <c r="F148" s="475">
        <f>VLOOKUP(B148,'Salary -Dec-2024 (Full)'!$B$6:$AE$383,5,0)</f>
        <v>45346</v>
      </c>
      <c r="G148" s="257">
        <f>VLOOKUP(B148,'Salary -Dec-2024 (Full)'!$B$6:$AE$383,6,0)</f>
        <v>31</v>
      </c>
      <c r="H148" s="258">
        <f>VLOOKUP(B148,'Salary -Dec-2024 (Full)'!$B$6:$AE$383,7,0)</f>
        <v>0</v>
      </c>
      <c r="I148" s="257">
        <f t="shared" ref="I148" si="415">G148-H148</f>
        <v>31</v>
      </c>
      <c r="J148" s="258">
        <f t="shared" ref="J148" si="416">Q148/G148</f>
        <v>967.74193548387098</v>
      </c>
      <c r="K148" s="72">
        <f>VLOOKUP(B148,'Salary -Dec-2024 (Full)'!$B$6:$AE$383,10,0)</f>
        <v>30000</v>
      </c>
      <c r="L148" s="72">
        <f t="shared" ref="L148" si="417">K148*60%</f>
        <v>18000</v>
      </c>
      <c r="M148" s="72">
        <f t="shared" ref="M148" si="418">K148*30%</f>
        <v>9000</v>
      </c>
      <c r="N148" s="72">
        <f t="shared" ref="N148" si="419">K148*6%</f>
        <v>1800</v>
      </c>
      <c r="O148" s="72">
        <f t="shared" ref="O148" si="420">K148*4%</f>
        <v>1200</v>
      </c>
      <c r="P148" s="259"/>
      <c r="Q148" s="260">
        <f t="shared" ref="Q148" si="421">SUM(L148:P148)</f>
        <v>30000</v>
      </c>
      <c r="R148" s="188">
        <f>VLOOKUP(B148,'Salary -Dec-2024 (Full)'!$B$6:$AE$383,17,0)</f>
        <v>30000</v>
      </c>
      <c r="S148" s="192">
        <f>VLOOKUP(B148,'Salary -Dec-2024 (Full)'!$B$6:$AE$383,18,0)</f>
        <v>0</v>
      </c>
      <c r="T148" s="192">
        <f>VLOOKUP(B148,'Salary -Dec-2024 (Full)'!$B$6:$AE$383,19,0)</f>
        <v>0</v>
      </c>
      <c r="U148" s="337">
        <f>VLOOKUP(B148,'Salary -Dec-2024 (Full)'!$B$6:$AE$383,20,0)</f>
        <v>0</v>
      </c>
      <c r="V148" s="263">
        <f t="shared" ref="V148" si="422">SUM(R148:U148)</f>
        <v>30000</v>
      </c>
      <c r="W148" s="192">
        <f>VLOOKUP(B148,'Salary -Dec-2024 (Full)'!$B$6:$AE$383,22,0)</f>
        <v>0</v>
      </c>
      <c r="X148" s="192">
        <f>VLOOKUP(B148,'Salary -Dec-2024 (Full)'!$B$6:$AE$383,23,0)</f>
        <v>0</v>
      </c>
      <c r="Y148" s="337">
        <f>VLOOKUP(B148,'Salary -Dec-2024 (Full)'!$B$6:$AE$383,24,0)</f>
        <v>0</v>
      </c>
      <c r="Z148" s="192">
        <f>VLOOKUP(B148,'Salary -Dec-2024 (Full)'!$B$6:$AE$383,25,0)</f>
        <v>2175</v>
      </c>
      <c r="AA148" s="192">
        <f>VLOOKUP(B148,'Salary -Dec-2024 (Full)'!$B$6:$AE$383,26,0)</f>
        <v>0</v>
      </c>
      <c r="AB148" s="384">
        <f t="shared" si="387"/>
        <v>2175</v>
      </c>
      <c r="AC148" s="193">
        <f t="shared" si="388"/>
        <v>27825</v>
      </c>
      <c r="AD148" s="264" t="str">
        <f>VLOOKUP(B148,'Salary -Dec-2024 (Full)'!$B$6:$AE$383,29,0)</f>
        <v>Bank</v>
      </c>
      <c r="AE148" s="264" t="str">
        <f>VLOOKUP(B148,'Salary -Dec-2024 (Full)'!$B$6:$AE$383,30,0)</f>
        <v>213.151.0003898</v>
      </c>
      <c r="AG148" s="61"/>
      <c r="AH148" s="183"/>
      <c r="AI148" s="319"/>
    </row>
    <row r="149" spans="1:35" s="47" customFormat="1" ht="33">
      <c r="A149" s="253">
        <v>43</v>
      </c>
      <c r="B149" s="254" t="s">
        <v>1188</v>
      </c>
      <c r="C149" s="255" t="str">
        <f>VLOOKUP(B149,'Salary -Dec-2024 (Full)'!$B$6:$D$383,2,0)</f>
        <v>Md Asaduzzaman</v>
      </c>
      <c r="D149" s="278" t="str">
        <f>VLOOKUP(B149,'Salary -Dec-2024 (Full)'!$B$6:$D$383,3,0)</f>
        <v>Sr. Territory Sales Officer</v>
      </c>
      <c r="E149" s="256" t="str">
        <f>VLOOKUP(B149,'Salary -Dec-2024 (Full)'!$B$6:$AE$383,4,0)</f>
        <v>S&amp;M</v>
      </c>
      <c r="F149" s="475">
        <f>VLOOKUP(B149,'Salary -Dec-2024 (Full)'!$B$6:$AE$383,5,0)</f>
        <v>45353</v>
      </c>
      <c r="G149" s="257">
        <f>VLOOKUP(B149,'Salary -Dec-2024 (Full)'!$B$6:$AE$383,6,0)</f>
        <v>31</v>
      </c>
      <c r="H149" s="258">
        <f>VLOOKUP(B149,'Salary -Dec-2024 (Full)'!$B$6:$AE$383,7,0)</f>
        <v>0</v>
      </c>
      <c r="I149" s="257">
        <f t="shared" ref="I149:I154" si="423">G149-H149</f>
        <v>31</v>
      </c>
      <c r="J149" s="258">
        <f t="shared" ref="J149:J154" si="424">Q149/G149</f>
        <v>1032.258064516129</v>
      </c>
      <c r="K149" s="72">
        <f>VLOOKUP(B149,'Salary -Dec-2024 (Full)'!$B$6:$AE$383,10,0)</f>
        <v>32000</v>
      </c>
      <c r="L149" s="72">
        <f t="shared" ref="L149:L154" si="425">K149*60%</f>
        <v>19200</v>
      </c>
      <c r="M149" s="72">
        <f t="shared" ref="M149:M154" si="426">K149*30%</f>
        <v>9600</v>
      </c>
      <c r="N149" s="72">
        <f t="shared" ref="N149:N154" si="427">K149*6%</f>
        <v>1920</v>
      </c>
      <c r="O149" s="72">
        <f t="shared" ref="O149:O154" si="428">K149*4%</f>
        <v>1280</v>
      </c>
      <c r="P149" s="259"/>
      <c r="Q149" s="260">
        <f t="shared" ref="Q149:Q154" si="429">SUM(L149:P149)</f>
        <v>32000</v>
      </c>
      <c r="R149" s="188">
        <f>VLOOKUP(B149,'Salary -Dec-2024 (Full)'!$B$6:$AE$383,17,0)</f>
        <v>32000</v>
      </c>
      <c r="S149" s="192">
        <f>VLOOKUP(B149,'Salary -Dec-2024 (Full)'!$B$6:$AE$383,18,0)</f>
        <v>0</v>
      </c>
      <c r="T149" s="192">
        <f>VLOOKUP(B149,'Salary -Dec-2024 (Full)'!$B$6:$AE$383,19,0)</f>
        <v>0</v>
      </c>
      <c r="U149" s="337">
        <f>VLOOKUP(B149,'Salary -Dec-2024 (Full)'!$B$6:$AE$383,20,0)</f>
        <v>0</v>
      </c>
      <c r="V149" s="263">
        <f t="shared" ref="V149:V154" si="430">SUM(R149:U149)</f>
        <v>32000</v>
      </c>
      <c r="W149" s="192">
        <f>VLOOKUP(B149,'Salary -Dec-2024 (Full)'!$B$6:$AE$383,22,0)</f>
        <v>0</v>
      </c>
      <c r="X149" s="192">
        <f>VLOOKUP(B149,'Salary -Dec-2024 (Full)'!$B$6:$AE$383,23,0)</f>
        <v>0</v>
      </c>
      <c r="Y149" s="337">
        <f>VLOOKUP(B149,'Salary -Dec-2024 (Full)'!$B$6:$AE$383,24,0)</f>
        <v>0</v>
      </c>
      <c r="Z149" s="192">
        <f>VLOOKUP(B149,'Salary -Dec-2024 (Full)'!$B$6:$AE$383,25,0)</f>
        <v>0</v>
      </c>
      <c r="AA149" s="192">
        <f>VLOOKUP(B149,'Salary -Dec-2024 (Full)'!$B$6:$AE$383,26,0)</f>
        <v>0</v>
      </c>
      <c r="AB149" s="384">
        <f t="shared" si="387"/>
        <v>0</v>
      </c>
      <c r="AC149" s="193">
        <f t="shared" si="388"/>
        <v>32000</v>
      </c>
      <c r="AD149" s="264" t="str">
        <f>VLOOKUP(B149,'Salary -Dec-2024 (Full)'!$B$6:$AE$383,29,0)</f>
        <v>Bank</v>
      </c>
      <c r="AE149" s="264" t="str">
        <f>VLOOKUP(B149,'Salary -Dec-2024 (Full)'!$B$6:$AE$383,30,0)</f>
        <v>219.151.0062240</v>
      </c>
      <c r="AG149" s="61"/>
      <c r="AH149" s="183"/>
      <c r="AI149" s="319"/>
    </row>
    <row r="150" spans="1:35" s="47" customFormat="1" ht="33">
      <c r="A150" s="62">
        <v>44</v>
      </c>
      <c r="B150" s="254" t="s">
        <v>1190</v>
      </c>
      <c r="C150" s="255" t="str">
        <f>VLOOKUP(B150,'Salary -Dec-2024 (Full)'!$B$6:$D$383,2,0)</f>
        <v>Md Raju Mia</v>
      </c>
      <c r="D150" s="278" t="str">
        <f>VLOOKUP(B150,'Salary -Dec-2024 (Full)'!$B$6:$D$383,3,0)</f>
        <v>Assistant Territory Manager</v>
      </c>
      <c r="E150" s="256" t="str">
        <f>VLOOKUP(B150,'Salary -Dec-2024 (Full)'!$B$6:$AE$383,4,0)</f>
        <v>S&amp;M</v>
      </c>
      <c r="F150" s="475">
        <f>VLOOKUP(B150,'Salary -Dec-2024 (Full)'!$B$6:$AE$383,5,0)</f>
        <v>45353</v>
      </c>
      <c r="G150" s="257">
        <f>VLOOKUP(B150,'Salary -Dec-2024 (Full)'!$B$6:$AE$383,6,0)</f>
        <v>31</v>
      </c>
      <c r="H150" s="258">
        <f>VLOOKUP(B150,'Salary -Dec-2024 (Full)'!$B$6:$AE$383,7,0)</f>
        <v>0</v>
      </c>
      <c r="I150" s="257">
        <f t="shared" si="423"/>
        <v>31</v>
      </c>
      <c r="J150" s="258">
        <f t="shared" si="424"/>
        <v>1064.516129032258</v>
      </c>
      <c r="K150" s="72">
        <f>VLOOKUP(B150,'Salary -Dec-2024 (Full)'!$B$6:$AE$383,10,0)</f>
        <v>33000</v>
      </c>
      <c r="L150" s="72">
        <f t="shared" si="425"/>
        <v>19800</v>
      </c>
      <c r="M150" s="72">
        <f t="shared" si="426"/>
        <v>9900</v>
      </c>
      <c r="N150" s="72">
        <f t="shared" si="427"/>
        <v>1980</v>
      </c>
      <c r="O150" s="72">
        <f t="shared" si="428"/>
        <v>1320</v>
      </c>
      <c r="P150" s="259"/>
      <c r="Q150" s="260">
        <f t="shared" si="429"/>
        <v>33000</v>
      </c>
      <c r="R150" s="188">
        <f>VLOOKUP(B150,'Salary -Dec-2024 (Full)'!$B$6:$AE$383,17,0)</f>
        <v>33000</v>
      </c>
      <c r="S150" s="192">
        <f>VLOOKUP(B150,'Salary -Dec-2024 (Full)'!$B$6:$AE$383,18,0)</f>
        <v>0</v>
      </c>
      <c r="T150" s="192">
        <f>VLOOKUP(B150,'Salary -Dec-2024 (Full)'!$B$6:$AE$383,19,0)</f>
        <v>0</v>
      </c>
      <c r="U150" s="337">
        <f>VLOOKUP(B150,'Salary -Dec-2024 (Full)'!$B$6:$AE$383,20,0)</f>
        <v>0</v>
      </c>
      <c r="V150" s="263">
        <f t="shared" si="430"/>
        <v>33000</v>
      </c>
      <c r="W150" s="192">
        <f>VLOOKUP(B150,'Salary -Dec-2024 (Full)'!$B$6:$AE$383,22,0)</f>
        <v>0</v>
      </c>
      <c r="X150" s="192">
        <f>VLOOKUP(B150,'Salary -Dec-2024 (Full)'!$B$6:$AE$383,23,0)</f>
        <v>0</v>
      </c>
      <c r="Y150" s="337">
        <f>VLOOKUP(B150,'Salary -Dec-2024 (Full)'!$B$6:$AE$383,24,0)</f>
        <v>0</v>
      </c>
      <c r="Z150" s="192">
        <f>VLOOKUP(B150,'Salary -Dec-2024 (Full)'!$B$6:$AE$383,25,0)</f>
        <v>0</v>
      </c>
      <c r="AA150" s="192">
        <f>VLOOKUP(B150,'Salary -Dec-2024 (Full)'!$B$6:$AE$383,26,0)</f>
        <v>0</v>
      </c>
      <c r="AB150" s="384">
        <f t="shared" si="387"/>
        <v>0</v>
      </c>
      <c r="AC150" s="193">
        <f t="shared" si="388"/>
        <v>33000</v>
      </c>
      <c r="AD150" s="264" t="str">
        <f>VLOOKUP(B150,'Salary -Dec-2024 (Full)'!$B$6:$AE$383,29,0)</f>
        <v>Bank</v>
      </c>
      <c r="AE150" s="264" t="str">
        <f>VLOOKUP(B150,'Salary -Dec-2024 (Full)'!$B$6:$AE$383,30,0)</f>
        <v>267.103.0024494</v>
      </c>
      <c r="AG150" s="61"/>
      <c r="AH150" s="183"/>
      <c r="AI150" s="319"/>
    </row>
    <row r="151" spans="1:35" s="47" customFormat="1" ht="33">
      <c r="A151" s="253">
        <v>45</v>
      </c>
      <c r="B151" s="254" t="s">
        <v>1192</v>
      </c>
      <c r="C151" s="255" t="str">
        <f>VLOOKUP(B151,'Salary -Dec-2024 (Full)'!$B$6:$D$383,2,0)</f>
        <v>Md Peyarul Islam</v>
      </c>
      <c r="D151" s="278" t="str">
        <f>VLOOKUP(B151,'Salary -Dec-2024 (Full)'!$B$6:$D$383,3,0)</f>
        <v>Sr. Territory Sales Officer</v>
      </c>
      <c r="E151" s="256" t="str">
        <f>VLOOKUP(B151,'Salary -Dec-2024 (Full)'!$B$6:$AE$383,4,0)</f>
        <v>S&amp;M</v>
      </c>
      <c r="F151" s="475">
        <f>VLOOKUP(B151,'Salary -Dec-2024 (Full)'!$B$6:$AE$383,5,0)</f>
        <v>45353</v>
      </c>
      <c r="G151" s="257">
        <f>VLOOKUP(B151,'Salary -Dec-2024 (Full)'!$B$6:$AE$383,6,0)</f>
        <v>31</v>
      </c>
      <c r="H151" s="258">
        <f>VLOOKUP(B151,'Salary -Dec-2024 (Full)'!$B$6:$AE$383,7,0)</f>
        <v>0</v>
      </c>
      <c r="I151" s="257">
        <f t="shared" si="423"/>
        <v>31</v>
      </c>
      <c r="J151" s="258">
        <f t="shared" si="424"/>
        <v>1032.258064516129</v>
      </c>
      <c r="K151" s="72">
        <f>VLOOKUP(B151,'Salary -Dec-2024 (Full)'!$B$6:$AE$383,10,0)</f>
        <v>32000</v>
      </c>
      <c r="L151" s="72">
        <f t="shared" si="425"/>
        <v>19200</v>
      </c>
      <c r="M151" s="72">
        <f t="shared" si="426"/>
        <v>9600</v>
      </c>
      <c r="N151" s="72">
        <f t="shared" si="427"/>
        <v>1920</v>
      </c>
      <c r="O151" s="72">
        <f t="shared" si="428"/>
        <v>1280</v>
      </c>
      <c r="P151" s="259"/>
      <c r="Q151" s="260">
        <f t="shared" si="429"/>
        <v>32000</v>
      </c>
      <c r="R151" s="188">
        <f>VLOOKUP(B151,'Salary -Dec-2024 (Full)'!$B$6:$AE$383,17,0)</f>
        <v>32000</v>
      </c>
      <c r="S151" s="192">
        <f>VLOOKUP(B151,'Salary -Dec-2024 (Full)'!$B$6:$AE$383,18,0)</f>
        <v>0</v>
      </c>
      <c r="T151" s="192">
        <f>VLOOKUP(B151,'Salary -Dec-2024 (Full)'!$B$6:$AE$383,19,0)</f>
        <v>0</v>
      </c>
      <c r="U151" s="337">
        <f>VLOOKUP(B151,'Salary -Dec-2024 (Full)'!$B$6:$AE$383,20,0)</f>
        <v>0</v>
      </c>
      <c r="V151" s="263">
        <f t="shared" si="430"/>
        <v>32000</v>
      </c>
      <c r="W151" s="192">
        <f>VLOOKUP(B151,'Salary -Dec-2024 (Full)'!$B$6:$AE$383,22,0)</f>
        <v>0</v>
      </c>
      <c r="X151" s="192">
        <f>VLOOKUP(B151,'Salary -Dec-2024 (Full)'!$B$6:$AE$383,23,0)</f>
        <v>0</v>
      </c>
      <c r="Y151" s="337">
        <f>VLOOKUP(B151,'Salary -Dec-2024 (Full)'!$B$6:$AE$383,24,0)</f>
        <v>0</v>
      </c>
      <c r="Z151" s="192">
        <f>VLOOKUP(B151,'Salary -Dec-2024 (Full)'!$B$6:$AE$383,25,0)</f>
        <v>0</v>
      </c>
      <c r="AA151" s="192">
        <f>VLOOKUP(B151,'Salary -Dec-2024 (Full)'!$B$6:$AE$383,26,0)</f>
        <v>0</v>
      </c>
      <c r="AB151" s="384">
        <f t="shared" si="387"/>
        <v>0</v>
      </c>
      <c r="AC151" s="193">
        <f t="shared" si="388"/>
        <v>32000</v>
      </c>
      <c r="AD151" s="264" t="str">
        <f>VLOOKUP(B151,'Salary -Dec-2024 (Full)'!$B$6:$AE$383,29,0)</f>
        <v>Bank</v>
      </c>
      <c r="AE151" s="264" t="str">
        <f>VLOOKUP(B151,'Salary -Dec-2024 (Full)'!$B$6:$AE$383,30,0)</f>
        <v>103.103.1170723</v>
      </c>
      <c r="AG151" s="61"/>
      <c r="AH151" s="183"/>
      <c r="AI151" s="319"/>
    </row>
    <row r="152" spans="1:35" s="47" customFormat="1" ht="33">
      <c r="A152" s="62">
        <v>46</v>
      </c>
      <c r="B152" s="254" t="s">
        <v>1196</v>
      </c>
      <c r="C152" s="255" t="str">
        <f>VLOOKUP(B152,'Salary -Dec-2024 (Full)'!$B$6:$D$383,2,0)</f>
        <v>Sree Bhupendronath Roy</v>
      </c>
      <c r="D152" s="278" t="str">
        <f>VLOOKUP(B152,'Salary -Dec-2024 (Full)'!$B$6:$D$383,3,0)</f>
        <v>Assistant Territory Manager</v>
      </c>
      <c r="E152" s="256" t="str">
        <f>VLOOKUP(B152,'Salary -Dec-2024 (Full)'!$B$6:$AE$383,4,0)</f>
        <v>S&amp;M</v>
      </c>
      <c r="F152" s="475">
        <f>VLOOKUP(B152,'Salary -Dec-2024 (Full)'!$B$6:$AE$383,5,0)</f>
        <v>45353</v>
      </c>
      <c r="G152" s="257">
        <f>VLOOKUP(B152,'Salary -Dec-2024 (Full)'!$B$6:$AE$383,6,0)</f>
        <v>31</v>
      </c>
      <c r="H152" s="258">
        <f>VLOOKUP(B152,'Salary -Dec-2024 (Full)'!$B$6:$AE$383,7,0)</f>
        <v>0</v>
      </c>
      <c r="I152" s="257">
        <f t="shared" si="423"/>
        <v>31</v>
      </c>
      <c r="J152" s="258">
        <f t="shared" si="424"/>
        <v>1064.516129032258</v>
      </c>
      <c r="K152" s="72">
        <f>VLOOKUP(B152,'Salary -Dec-2024 (Full)'!$B$6:$AE$383,10,0)</f>
        <v>33000</v>
      </c>
      <c r="L152" s="72">
        <f t="shared" si="425"/>
        <v>19800</v>
      </c>
      <c r="M152" s="72">
        <f t="shared" si="426"/>
        <v>9900</v>
      </c>
      <c r="N152" s="72">
        <f t="shared" si="427"/>
        <v>1980</v>
      </c>
      <c r="O152" s="72">
        <f t="shared" si="428"/>
        <v>1320</v>
      </c>
      <c r="P152" s="259"/>
      <c r="Q152" s="260">
        <f t="shared" si="429"/>
        <v>33000</v>
      </c>
      <c r="R152" s="188">
        <f>VLOOKUP(B152,'Salary -Dec-2024 (Full)'!$B$6:$AE$383,17,0)</f>
        <v>33000</v>
      </c>
      <c r="S152" s="192">
        <f>VLOOKUP(B152,'Salary -Dec-2024 (Full)'!$B$6:$AE$383,18,0)</f>
        <v>0</v>
      </c>
      <c r="T152" s="192">
        <f>VLOOKUP(B152,'Salary -Dec-2024 (Full)'!$B$6:$AE$383,19,0)</f>
        <v>0</v>
      </c>
      <c r="U152" s="337">
        <f>VLOOKUP(B152,'Salary -Dec-2024 (Full)'!$B$6:$AE$383,20,0)</f>
        <v>0</v>
      </c>
      <c r="V152" s="263">
        <f t="shared" si="430"/>
        <v>33000</v>
      </c>
      <c r="W152" s="192">
        <f>VLOOKUP(B152,'Salary -Dec-2024 (Full)'!$B$6:$AE$383,22,0)</f>
        <v>0</v>
      </c>
      <c r="X152" s="192">
        <f>VLOOKUP(B152,'Salary -Dec-2024 (Full)'!$B$6:$AE$383,23,0)</f>
        <v>0</v>
      </c>
      <c r="Y152" s="337">
        <f>VLOOKUP(B152,'Salary -Dec-2024 (Full)'!$B$6:$AE$383,24,0)</f>
        <v>0</v>
      </c>
      <c r="Z152" s="192">
        <f>VLOOKUP(B152,'Salary -Dec-2024 (Full)'!$B$6:$AE$383,25,0)</f>
        <v>0</v>
      </c>
      <c r="AA152" s="192">
        <f>VLOOKUP(B152,'Salary -Dec-2024 (Full)'!$B$6:$AE$383,26,0)</f>
        <v>0</v>
      </c>
      <c r="AB152" s="384">
        <f t="shared" si="387"/>
        <v>0</v>
      </c>
      <c r="AC152" s="193">
        <f t="shared" si="388"/>
        <v>33000</v>
      </c>
      <c r="AD152" s="264" t="str">
        <f>VLOOKUP(B152,'Salary -Dec-2024 (Full)'!$B$6:$AE$383,29,0)</f>
        <v>Bank</v>
      </c>
      <c r="AE152" s="264" t="str">
        <f>VLOOKUP(B152,'Salary -Dec-2024 (Full)'!$B$6:$AE$383,30,0)</f>
        <v>172.158.0102567</v>
      </c>
      <c r="AG152" s="61"/>
      <c r="AH152" s="183"/>
      <c r="AI152" s="319"/>
    </row>
    <row r="153" spans="1:35" s="47" customFormat="1" ht="33">
      <c r="A153" s="253">
        <v>47</v>
      </c>
      <c r="B153" s="254" t="s">
        <v>1198</v>
      </c>
      <c r="C153" s="255" t="str">
        <f>VLOOKUP(B153,'Salary -Dec-2024 (Full)'!$B$6:$D$383,2,0)</f>
        <v>Md Wohed Ali</v>
      </c>
      <c r="D153" s="278" t="str">
        <f>VLOOKUP(B153,'Salary -Dec-2024 (Full)'!$B$6:$D$383,3,0)</f>
        <v>Sr. Territory Sales Officer</v>
      </c>
      <c r="E153" s="256" t="str">
        <f>VLOOKUP(B153,'Salary -Dec-2024 (Full)'!$B$6:$AE$383,4,0)</f>
        <v>S&amp;M</v>
      </c>
      <c r="F153" s="475">
        <f>VLOOKUP(B153,'Salary -Dec-2024 (Full)'!$B$6:$AE$383,5,0)</f>
        <v>45353</v>
      </c>
      <c r="G153" s="257">
        <f>VLOOKUP(B153,'Salary -Dec-2024 (Full)'!$B$6:$AE$383,6,0)</f>
        <v>31</v>
      </c>
      <c r="H153" s="258">
        <f>VLOOKUP(B153,'Salary -Dec-2024 (Full)'!$B$6:$AE$383,7,0)</f>
        <v>0</v>
      </c>
      <c r="I153" s="257">
        <f t="shared" si="423"/>
        <v>31</v>
      </c>
      <c r="J153" s="258">
        <f t="shared" si="424"/>
        <v>1064.516129032258</v>
      </c>
      <c r="K153" s="72">
        <f>VLOOKUP(B153,'Salary -Dec-2024 (Full)'!$B$6:$AE$383,10,0)</f>
        <v>33000</v>
      </c>
      <c r="L153" s="72">
        <f t="shared" si="425"/>
        <v>19800</v>
      </c>
      <c r="M153" s="72">
        <f t="shared" si="426"/>
        <v>9900</v>
      </c>
      <c r="N153" s="72">
        <f t="shared" si="427"/>
        <v>1980</v>
      </c>
      <c r="O153" s="72">
        <f t="shared" si="428"/>
        <v>1320</v>
      </c>
      <c r="P153" s="259"/>
      <c r="Q153" s="260">
        <f t="shared" si="429"/>
        <v>33000</v>
      </c>
      <c r="R153" s="188">
        <f>VLOOKUP(B153,'Salary -Dec-2024 (Full)'!$B$6:$AE$383,17,0)</f>
        <v>33000</v>
      </c>
      <c r="S153" s="192">
        <f>VLOOKUP(B153,'Salary -Dec-2024 (Full)'!$B$6:$AE$383,18,0)</f>
        <v>0</v>
      </c>
      <c r="T153" s="192">
        <f>VLOOKUP(B153,'Salary -Dec-2024 (Full)'!$B$6:$AE$383,19,0)</f>
        <v>0</v>
      </c>
      <c r="U153" s="337">
        <f>VLOOKUP(B153,'Salary -Dec-2024 (Full)'!$B$6:$AE$383,20,0)</f>
        <v>0</v>
      </c>
      <c r="V153" s="263">
        <f t="shared" si="430"/>
        <v>33000</v>
      </c>
      <c r="W153" s="192">
        <f>VLOOKUP(B153,'Salary -Dec-2024 (Full)'!$B$6:$AE$383,22,0)</f>
        <v>0</v>
      </c>
      <c r="X153" s="192">
        <f>VLOOKUP(B153,'Salary -Dec-2024 (Full)'!$B$6:$AE$383,23,0)</f>
        <v>0</v>
      </c>
      <c r="Y153" s="337">
        <f>VLOOKUP(B153,'Salary -Dec-2024 (Full)'!$B$6:$AE$383,24,0)</f>
        <v>0</v>
      </c>
      <c r="Z153" s="192">
        <f>VLOOKUP(B153,'Salary -Dec-2024 (Full)'!$B$6:$AE$383,25,0)</f>
        <v>2175</v>
      </c>
      <c r="AA153" s="192">
        <f>VLOOKUP(B153,'Salary -Dec-2024 (Full)'!$B$6:$AE$383,26,0)</f>
        <v>0</v>
      </c>
      <c r="AB153" s="384">
        <f t="shared" si="387"/>
        <v>2175</v>
      </c>
      <c r="AC153" s="193">
        <f t="shared" si="388"/>
        <v>30825</v>
      </c>
      <c r="AD153" s="264" t="str">
        <f>VLOOKUP(B153,'Salary -Dec-2024 (Full)'!$B$6:$AE$383,29,0)</f>
        <v>Bank</v>
      </c>
      <c r="AE153" s="264" t="str">
        <f>VLOOKUP(B153,'Salary -Dec-2024 (Full)'!$B$6:$AE$383,30,0)</f>
        <v>103.103.0858066</v>
      </c>
      <c r="AG153" s="61"/>
      <c r="AH153" s="183"/>
      <c r="AI153" s="319"/>
    </row>
    <row r="154" spans="1:35" s="47" customFormat="1" ht="28.5" customHeight="1">
      <c r="A154" s="62">
        <v>48</v>
      </c>
      <c r="B154" s="254" t="s">
        <v>1200</v>
      </c>
      <c r="C154" s="255" t="str">
        <f>VLOOKUP(B154,'Salary -Dec-2024 (Full)'!$B$6:$D$383,2,0)</f>
        <v>Md Gias Uddin Howlader</v>
      </c>
      <c r="D154" s="278" t="str">
        <f>VLOOKUP(B154,'Salary -Dec-2024 (Full)'!$B$6:$D$383,3,0)</f>
        <v>Sr. Territory Sales Officer</v>
      </c>
      <c r="E154" s="256" t="str">
        <f>VLOOKUP(B154,'Salary -Dec-2024 (Full)'!$B$6:$AE$383,4,0)</f>
        <v>S&amp;M</v>
      </c>
      <c r="F154" s="475">
        <f>VLOOKUP(B154,'Salary -Dec-2024 (Full)'!$B$6:$AE$383,5,0)</f>
        <v>45353</v>
      </c>
      <c r="G154" s="257">
        <f>VLOOKUP(B154,'Salary -Dec-2024 (Full)'!$B$6:$AE$383,6,0)</f>
        <v>31</v>
      </c>
      <c r="H154" s="258">
        <f>VLOOKUP(B154,'Salary -Dec-2024 (Full)'!$B$6:$AE$383,7,0)</f>
        <v>0</v>
      </c>
      <c r="I154" s="257">
        <f t="shared" si="423"/>
        <v>31</v>
      </c>
      <c r="J154" s="258">
        <f t="shared" si="424"/>
        <v>967.74193548387098</v>
      </c>
      <c r="K154" s="72">
        <f>VLOOKUP(B154,'Salary -Dec-2024 (Full)'!$B$6:$AE$383,10,0)</f>
        <v>30000</v>
      </c>
      <c r="L154" s="72">
        <f t="shared" si="425"/>
        <v>18000</v>
      </c>
      <c r="M154" s="72">
        <f t="shared" si="426"/>
        <v>9000</v>
      </c>
      <c r="N154" s="72">
        <f t="shared" si="427"/>
        <v>1800</v>
      </c>
      <c r="O154" s="72">
        <f t="shared" si="428"/>
        <v>1200</v>
      </c>
      <c r="P154" s="259"/>
      <c r="Q154" s="260">
        <f t="shared" si="429"/>
        <v>30000</v>
      </c>
      <c r="R154" s="188">
        <f>VLOOKUP(B154,'Salary -Dec-2024 (Full)'!$B$6:$AE$383,17,0)</f>
        <v>30000</v>
      </c>
      <c r="S154" s="192">
        <f>VLOOKUP(B154,'Salary -Dec-2024 (Full)'!$B$6:$AE$383,18,0)</f>
        <v>0</v>
      </c>
      <c r="T154" s="192">
        <f>VLOOKUP(B154,'Salary -Dec-2024 (Full)'!$B$6:$AE$383,19,0)</f>
        <v>0</v>
      </c>
      <c r="U154" s="337">
        <f>VLOOKUP(B154,'Salary -Dec-2024 (Full)'!$B$6:$AE$383,20,0)</f>
        <v>0</v>
      </c>
      <c r="V154" s="263">
        <f t="shared" si="430"/>
        <v>30000</v>
      </c>
      <c r="W154" s="192">
        <f>VLOOKUP(B154,'Salary -Dec-2024 (Full)'!$B$6:$AE$383,22,0)</f>
        <v>0</v>
      </c>
      <c r="X154" s="192">
        <f>VLOOKUP(B154,'Salary -Dec-2024 (Full)'!$B$6:$AE$383,23,0)</f>
        <v>0</v>
      </c>
      <c r="Y154" s="337">
        <f>VLOOKUP(B154,'Salary -Dec-2024 (Full)'!$B$6:$AE$383,24,0)</f>
        <v>0</v>
      </c>
      <c r="Z154" s="192">
        <f>VLOOKUP(B154,'Salary -Dec-2024 (Full)'!$B$6:$AE$383,25,0)</f>
        <v>0</v>
      </c>
      <c r="AA154" s="192">
        <f>VLOOKUP(B154,'Salary -Dec-2024 (Full)'!$B$6:$AE$383,26,0)</f>
        <v>0</v>
      </c>
      <c r="AB154" s="384">
        <f t="shared" si="387"/>
        <v>0</v>
      </c>
      <c r="AC154" s="193">
        <f t="shared" si="388"/>
        <v>30000</v>
      </c>
      <c r="AD154" s="264" t="str">
        <f>VLOOKUP(B154,'Salary -Dec-2024 (Full)'!$B$6:$AE$383,29,0)</f>
        <v>Bank</v>
      </c>
      <c r="AE154" s="264" t="str">
        <f>VLOOKUP(B154,'Salary -Dec-2024 (Full)'!$B$6:$AE$383,30,0)</f>
        <v>218.103.0041632</v>
      </c>
      <c r="AG154" s="61"/>
      <c r="AH154" s="183"/>
      <c r="AI154" s="319"/>
    </row>
    <row r="155" spans="1:35" s="47" customFormat="1" ht="28.5" customHeight="1">
      <c r="A155" s="253">
        <v>49</v>
      </c>
      <c r="B155" s="254" t="s">
        <v>1205</v>
      </c>
      <c r="C155" s="255" t="str">
        <f>VLOOKUP(B155,'Salary -Dec-2024 (Full)'!$B$6:$D$383,2,0)</f>
        <v>Ramani Kanta Barman</v>
      </c>
      <c r="D155" s="278" t="str">
        <f>VLOOKUP(B155,'Salary -Dec-2024 (Full)'!$B$6:$D$383,3,0)</f>
        <v>Sr. Territory Sales Officer</v>
      </c>
      <c r="E155" s="256" t="str">
        <f>VLOOKUP(B155,'Salary -Dec-2024 (Full)'!$B$6:$AE$383,4,0)</f>
        <v>S&amp;M</v>
      </c>
      <c r="F155" s="475">
        <f>VLOOKUP(B155,'Salary -Dec-2024 (Full)'!$B$6:$AE$383,5,0)</f>
        <v>45356</v>
      </c>
      <c r="G155" s="257">
        <f>VLOOKUP(B155,'Salary -Dec-2024 (Full)'!$B$6:$AE$383,6,0)</f>
        <v>31</v>
      </c>
      <c r="H155" s="258">
        <f>VLOOKUP(B155,'Salary -Dec-2024 (Full)'!$B$6:$AE$383,7,0)</f>
        <v>0</v>
      </c>
      <c r="I155" s="257">
        <f t="shared" ref="I155" si="431">G155-H155</f>
        <v>31</v>
      </c>
      <c r="J155" s="258">
        <f t="shared" ref="J155" si="432">Q155/G155</f>
        <v>967.74193548387098</v>
      </c>
      <c r="K155" s="72">
        <f>VLOOKUP(B155,'Salary -Dec-2024 (Full)'!$B$6:$AE$383,10,0)</f>
        <v>30000</v>
      </c>
      <c r="L155" s="72">
        <f t="shared" ref="L155" si="433">K155*60%</f>
        <v>18000</v>
      </c>
      <c r="M155" s="72">
        <f t="shared" ref="M155" si="434">K155*30%</f>
        <v>9000</v>
      </c>
      <c r="N155" s="72">
        <f t="shared" ref="N155" si="435">K155*6%</f>
        <v>1800</v>
      </c>
      <c r="O155" s="72">
        <f t="shared" ref="O155" si="436">K155*4%</f>
        <v>1200</v>
      </c>
      <c r="P155" s="259"/>
      <c r="Q155" s="260">
        <f t="shared" ref="Q155" si="437">SUM(L155:P155)</f>
        <v>30000</v>
      </c>
      <c r="R155" s="188">
        <f>VLOOKUP(B155,'Salary -Dec-2024 (Full)'!$B$6:$AE$383,17,0)</f>
        <v>30000</v>
      </c>
      <c r="S155" s="192">
        <f>VLOOKUP(B155,'Salary -Dec-2024 (Full)'!$B$6:$AE$383,18,0)</f>
        <v>0</v>
      </c>
      <c r="T155" s="192">
        <f>VLOOKUP(B155,'Salary -Dec-2024 (Full)'!$B$6:$AE$383,19,0)</f>
        <v>0</v>
      </c>
      <c r="U155" s="337">
        <f>VLOOKUP(B155,'Salary -Dec-2024 (Full)'!$B$6:$AE$383,20,0)</f>
        <v>0</v>
      </c>
      <c r="V155" s="263">
        <f t="shared" ref="V155" si="438">SUM(R155:U155)</f>
        <v>30000</v>
      </c>
      <c r="W155" s="192">
        <f>VLOOKUP(B155,'Salary -Dec-2024 (Full)'!$B$6:$AE$383,22,0)</f>
        <v>0</v>
      </c>
      <c r="X155" s="192">
        <f>VLOOKUP(B155,'Salary -Dec-2024 (Full)'!$B$6:$AE$383,23,0)</f>
        <v>0</v>
      </c>
      <c r="Y155" s="337">
        <f>VLOOKUP(B155,'Salary -Dec-2024 (Full)'!$B$6:$AE$383,24,0)</f>
        <v>0</v>
      </c>
      <c r="Z155" s="192">
        <f>VLOOKUP(B155,'Salary -Dec-2024 (Full)'!$B$6:$AE$383,25,0)</f>
        <v>2175</v>
      </c>
      <c r="AA155" s="192">
        <f>VLOOKUP(B155,'Salary -Dec-2024 (Full)'!$B$6:$AE$383,26,0)</f>
        <v>0</v>
      </c>
      <c r="AB155" s="384">
        <f t="shared" si="387"/>
        <v>2175</v>
      </c>
      <c r="AC155" s="193">
        <f t="shared" si="388"/>
        <v>27825</v>
      </c>
      <c r="AD155" s="264" t="str">
        <f>VLOOKUP(B155,'Salary -Dec-2024 (Full)'!$B$6:$AE$383,29,0)</f>
        <v>Bank</v>
      </c>
      <c r="AE155" s="264" t="str">
        <f>VLOOKUP(B155,'Salary -Dec-2024 (Full)'!$B$6:$AE$383,30,0)</f>
        <v>278.158.0095201</v>
      </c>
      <c r="AG155" s="61"/>
      <c r="AH155" s="183"/>
      <c r="AI155" s="319"/>
    </row>
    <row r="156" spans="1:35" s="47" customFormat="1" ht="30" customHeight="1">
      <c r="A156" s="62">
        <v>50</v>
      </c>
      <c r="B156" s="254" t="s">
        <v>1366</v>
      </c>
      <c r="C156" s="255" t="str">
        <f>VLOOKUP(B156,'Salary -Dec-2024 (Full)'!$B$6:$D$383,2,0)</f>
        <v>ABM Nizam Uddin</v>
      </c>
      <c r="D156" s="278" t="str">
        <f>VLOOKUP(B156,'Salary -Dec-2024 (Full)'!$B$6:$D$383,3,0)</f>
        <v>Assistant Manager-Recovery</v>
      </c>
      <c r="E156" s="256" t="str">
        <f>VLOOKUP(B156,'Salary -Dec-2024 (Full)'!$B$6:$AE$383,4,0)</f>
        <v>S&amp;M</v>
      </c>
      <c r="F156" s="475">
        <f>VLOOKUP(B156,'Salary -Dec-2024 (Full)'!$B$6:$AE$383,5,0)</f>
        <v>45414</v>
      </c>
      <c r="G156" s="257">
        <f>VLOOKUP(B156,'Salary -Dec-2024 (Full)'!$B$6:$AE$383,6,0)</f>
        <v>31</v>
      </c>
      <c r="H156" s="258">
        <f>VLOOKUP(B156,'Salary -Dec-2024 (Full)'!$B$6:$AE$383,7,0)</f>
        <v>0</v>
      </c>
      <c r="I156" s="257">
        <f t="shared" ref="I156" si="439">G156-H156</f>
        <v>31</v>
      </c>
      <c r="J156" s="258">
        <f t="shared" ref="J156" si="440">Q156/G156</f>
        <v>1419.3548387096773</v>
      </c>
      <c r="K156" s="72">
        <f>VLOOKUP(B156,'Salary -Dec-2024 (Full)'!$B$6:$AE$383,10,0)</f>
        <v>44000</v>
      </c>
      <c r="L156" s="72">
        <f t="shared" ref="L156" si="441">K156*60%</f>
        <v>26400</v>
      </c>
      <c r="M156" s="72">
        <f t="shared" ref="M156" si="442">K156*30%</f>
        <v>13200</v>
      </c>
      <c r="N156" s="72">
        <f t="shared" ref="N156" si="443">K156*6%</f>
        <v>2640</v>
      </c>
      <c r="O156" s="72">
        <f t="shared" ref="O156" si="444">K156*4%</f>
        <v>1760</v>
      </c>
      <c r="P156" s="259"/>
      <c r="Q156" s="260">
        <f t="shared" ref="Q156" si="445">SUM(L156:P156)</f>
        <v>44000</v>
      </c>
      <c r="R156" s="188">
        <f>VLOOKUP(B156,'Salary -Dec-2024 (Full)'!$B$6:$AE$383,17,0)</f>
        <v>44000</v>
      </c>
      <c r="S156" s="192">
        <f>VLOOKUP(B156,'Salary -Dec-2024 (Full)'!$B$6:$AE$383,18,0)</f>
        <v>0</v>
      </c>
      <c r="T156" s="192">
        <f>VLOOKUP(B156,'Salary -Dec-2024 (Full)'!$B$6:$AE$383,19,0)</f>
        <v>0</v>
      </c>
      <c r="U156" s="337">
        <f>VLOOKUP(B156,'Salary -Dec-2024 (Full)'!$B$6:$AE$383,20,0)</f>
        <v>0</v>
      </c>
      <c r="V156" s="263">
        <f t="shared" ref="V156" si="446">SUM(R156:U156)</f>
        <v>44000</v>
      </c>
      <c r="W156" s="192">
        <f>VLOOKUP(B156,'Salary -Dec-2024 (Full)'!$B$6:$AE$383,22,0)</f>
        <v>417</v>
      </c>
      <c r="X156" s="192">
        <f>VLOOKUP(B156,'Salary -Dec-2024 (Full)'!$B$6:$AE$383,23,0)</f>
        <v>1125</v>
      </c>
      <c r="Y156" s="337">
        <f>VLOOKUP(B156,'Salary -Dec-2024 (Full)'!$B$6:$AE$383,24,0)</f>
        <v>0</v>
      </c>
      <c r="Z156" s="192">
        <f>VLOOKUP(B156,'Salary -Dec-2024 (Full)'!$B$6:$AE$383,25,0)</f>
        <v>0</v>
      </c>
      <c r="AA156" s="192">
        <f>VLOOKUP(B156,'Salary -Dec-2024 (Full)'!$B$6:$AE$383,26,0)</f>
        <v>0</v>
      </c>
      <c r="AB156" s="384">
        <f t="shared" si="387"/>
        <v>1542</v>
      </c>
      <c r="AC156" s="193">
        <f t="shared" si="388"/>
        <v>42458</v>
      </c>
      <c r="AD156" s="264" t="str">
        <f>VLOOKUP(B156,'Salary -Dec-2024 (Full)'!$B$6:$AE$383,29,0)</f>
        <v>Bank</v>
      </c>
      <c r="AE156" s="264" t="str">
        <f>VLOOKUP(B156,'Salary -Dec-2024 (Full)'!$B$6:$AE$383,30,0)</f>
        <v>114.103.0606462</v>
      </c>
      <c r="AG156" s="61"/>
      <c r="AH156" s="183"/>
      <c r="AI156" s="319"/>
    </row>
    <row r="157" spans="1:35" s="47" customFormat="1" ht="24" customHeight="1">
      <c r="A157" s="253">
        <v>51</v>
      </c>
      <c r="B157" s="254" t="s">
        <v>1623</v>
      </c>
      <c r="C157" s="255" t="str">
        <f>VLOOKUP(B157,'Salary -Dec-2024 (Full)'!$B$6:$D$383,2,0)</f>
        <v>Md Inzamamul Haque</v>
      </c>
      <c r="D157" s="278" t="str">
        <f>VLOOKUP(B157,'Salary -Dec-2024 (Full)'!$B$6:$D$383,3,0)</f>
        <v>Manager</v>
      </c>
      <c r="E157" s="256" t="str">
        <f>VLOOKUP(B157,'Salary -Dec-2024 (Full)'!$B$6:$AE$383,4,0)</f>
        <v>Tractor</v>
      </c>
      <c r="F157" s="475">
        <f>VLOOKUP(B157,'Salary -Dec-2024 (Full)'!$B$6:$AE$383,5,0)</f>
        <v>44075</v>
      </c>
      <c r="G157" s="257">
        <f>VLOOKUP(B157,'Salary -Dec-2024 (Full)'!$B$6:$AE$383,6,0)</f>
        <v>31</v>
      </c>
      <c r="H157" s="258">
        <f>VLOOKUP(B157,'Salary -Dec-2024 (Full)'!$B$6:$AE$383,7,0)</f>
        <v>0</v>
      </c>
      <c r="I157" s="257">
        <f t="shared" ref="I157" si="447">G157-H157</f>
        <v>31</v>
      </c>
      <c r="J157" s="258">
        <f t="shared" ref="J157" si="448">Q157/G157</f>
        <v>1941.9354838709678</v>
      </c>
      <c r="K157" s="72">
        <f>VLOOKUP(B157,'Salary -Dec-2024 (Full)'!$B$6:$AE$383,10,0)</f>
        <v>60200</v>
      </c>
      <c r="L157" s="72">
        <f t="shared" ref="L157" si="449">K157*60%</f>
        <v>36120</v>
      </c>
      <c r="M157" s="72">
        <f t="shared" ref="M157" si="450">K157*30%</f>
        <v>18060</v>
      </c>
      <c r="N157" s="72">
        <f t="shared" ref="N157" si="451">K157*6%</f>
        <v>3612</v>
      </c>
      <c r="O157" s="72">
        <f t="shared" ref="O157" si="452">K157*4%</f>
        <v>2408</v>
      </c>
      <c r="P157" s="259"/>
      <c r="Q157" s="260">
        <f t="shared" ref="Q157" si="453">SUM(L157:P157)</f>
        <v>60200</v>
      </c>
      <c r="R157" s="188">
        <f>VLOOKUP(B157,'Salary -Dec-2024 (Full)'!$B$6:$AE$383,17,0)</f>
        <v>60200</v>
      </c>
      <c r="S157" s="192">
        <f>VLOOKUP(B157,'Salary -Dec-2024 (Full)'!$B$6:$AE$383,18,0)</f>
        <v>0</v>
      </c>
      <c r="T157" s="192">
        <f>VLOOKUP(B157,'Salary -Dec-2024 (Full)'!$B$6:$AE$383,19,0)</f>
        <v>0</v>
      </c>
      <c r="U157" s="337">
        <f>VLOOKUP(B157,'Salary -Dec-2024 (Full)'!$B$6:$AE$383,20,0)</f>
        <v>0</v>
      </c>
      <c r="V157" s="263">
        <f t="shared" ref="V157" si="454">SUM(R157:U157)</f>
        <v>60200</v>
      </c>
      <c r="W157" s="192">
        <f>VLOOKUP(B157,'Salary -Dec-2024 (Full)'!$B$6:$AE$383,22,0)</f>
        <v>500</v>
      </c>
      <c r="X157" s="192">
        <f>VLOOKUP(B157,'Salary -Dec-2024 (Full)'!$B$6:$AE$383,23,0)</f>
        <v>0</v>
      </c>
      <c r="Y157" s="337">
        <f>VLOOKUP(B157,'Salary -Dec-2024 (Full)'!$B$6:$AE$383,24,0)</f>
        <v>1806</v>
      </c>
      <c r="Z157" s="192">
        <f>VLOOKUP(B157,'Salary -Dec-2024 (Full)'!$B$6:$AE$383,25,0)</f>
        <v>0</v>
      </c>
      <c r="AA157" s="192">
        <f>VLOOKUP(B157,'Salary -Dec-2024 (Full)'!$B$6:$AE$383,26,0)</f>
        <v>0</v>
      </c>
      <c r="AB157" s="384">
        <f t="shared" ref="AB157" si="455">SUM(W157:AA157)</f>
        <v>2306</v>
      </c>
      <c r="AC157" s="193">
        <f t="shared" ref="AC157" si="456">ROUND(V157-AB157,0)</f>
        <v>57894</v>
      </c>
      <c r="AD157" s="264" t="str">
        <f>VLOOKUP(B157,'Salary -Dec-2024 (Full)'!$B$6:$AE$383,29,0)</f>
        <v>Bank</v>
      </c>
      <c r="AE157" s="264" t="str">
        <f>VLOOKUP(B157,'Salary -Dec-2024 (Full)'!$B$6:$AE$383,30,0)</f>
        <v>103.158.0002784</v>
      </c>
      <c r="AG157" s="61"/>
      <c r="AH157" s="183"/>
      <c r="AI157" s="319"/>
    </row>
    <row r="158" spans="1:35" s="47" customFormat="1" ht="33" customHeight="1">
      <c r="A158" s="62">
        <v>52</v>
      </c>
      <c r="B158" s="254" t="s">
        <v>1670</v>
      </c>
      <c r="C158" s="255" t="str">
        <f>VLOOKUP(B158,'Salary -Dec-2024 (Full)'!$B$6:$D$383,2,0)</f>
        <v>Md Shoriful Islam Sobuj</v>
      </c>
      <c r="D158" s="278" t="str">
        <f>VLOOKUP(B158,'Salary -Dec-2024 (Full)'!$B$6:$D$383,3,0)</f>
        <v>Assistant Territory Sales officer</v>
      </c>
      <c r="E158" s="256" t="str">
        <f>VLOOKUP(B158,'Salary -Dec-2024 (Full)'!$B$6:$AE$383,4,0)</f>
        <v>S&amp;M</v>
      </c>
      <c r="F158" s="475">
        <f>VLOOKUP(B158,'Salary -Dec-2024 (Full)'!$B$6:$AE$383,5,0)</f>
        <v>45577</v>
      </c>
      <c r="G158" s="257">
        <f>VLOOKUP(B158,'Salary -Dec-2024 (Full)'!$B$6:$AE$383,6,0)</f>
        <v>31</v>
      </c>
      <c r="H158" s="258">
        <f>VLOOKUP(B158,'Salary -Dec-2024 (Full)'!$B$6:$AE$383,7,0)</f>
        <v>0</v>
      </c>
      <c r="I158" s="257">
        <f t="shared" ref="I158:I161" si="457">G158-H158</f>
        <v>31</v>
      </c>
      <c r="J158" s="258">
        <f t="shared" ref="J158:J161" si="458">Q158/G158</f>
        <v>580.64516129032256</v>
      </c>
      <c r="K158" s="72">
        <f>VLOOKUP(B158,'Salary -Dec-2024 (Full)'!$B$6:$AE$383,10,0)</f>
        <v>18000</v>
      </c>
      <c r="L158" s="72">
        <f t="shared" ref="L158:L161" si="459">K158*60%</f>
        <v>10800</v>
      </c>
      <c r="M158" s="72">
        <f t="shared" ref="M158:M161" si="460">K158*30%</f>
        <v>5400</v>
      </c>
      <c r="N158" s="72">
        <f t="shared" ref="N158:N161" si="461">K158*6%</f>
        <v>1080</v>
      </c>
      <c r="O158" s="72">
        <f t="shared" ref="O158:O161" si="462">K158*4%</f>
        <v>720</v>
      </c>
      <c r="P158" s="259"/>
      <c r="Q158" s="260">
        <f t="shared" ref="Q158:Q161" si="463">SUM(L158:P158)</f>
        <v>18000</v>
      </c>
      <c r="R158" s="188">
        <f>VLOOKUP(B158,'Salary -Dec-2024 (Full)'!$B$6:$AE$383,17,0)</f>
        <v>18000</v>
      </c>
      <c r="S158" s="192">
        <f>VLOOKUP(B158,'Salary -Dec-2024 (Full)'!$B$6:$AE$383,18,0)</f>
        <v>0</v>
      </c>
      <c r="T158" s="192">
        <f>VLOOKUP(B158,'Salary -Dec-2024 (Full)'!$B$6:$AE$383,19,0)</f>
        <v>0</v>
      </c>
      <c r="U158" s="337">
        <f>VLOOKUP(B158,'Salary -Dec-2024 (Full)'!$B$6:$AE$383,20,0)</f>
        <v>0</v>
      </c>
      <c r="V158" s="263">
        <f t="shared" ref="V158:V161" si="464">SUM(R158:U158)</f>
        <v>18000</v>
      </c>
      <c r="W158" s="192">
        <f>VLOOKUP(B158,'Salary -Dec-2024 (Full)'!$B$6:$AE$383,22,0)</f>
        <v>0</v>
      </c>
      <c r="X158" s="192">
        <f>VLOOKUP(B158,'Salary -Dec-2024 (Full)'!$B$6:$AE$383,23,0)</f>
        <v>0</v>
      </c>
      <c r="Y158" s="337">
        <f>VLOOKUP(B158,'Salary -Dec-2024 (Full)'!$B$6:$AE$383,24,0)</f>
        <v>0</v>
      </c>
      <c r="Z158" s="192">
        <f>VLOOKUP(B158,'Salary -Dec-2024 (Full)'!$B$6:$AE$383,25,0)</f>
        <v>-2160</v>
      </c>
      <c r="AA158" s="192">
        <f>VLOOKUP(B158,'Salary -Dec-2024 (Full)'!$B$6:$AE$383,26,0)</f>
        <v>0</v>
      </c>
      <c r="AB158" s="384">
        <f t="shared" ref="AB158:AB161" si="465">SUM(W158:AA158)</f>
        <v>-2160</v>
      </c>
      <c r="AC158" s="193">
        <f t="shared" ref="AC158:AC161" si="466">ROUND(V158-AB158,0)</f>
        <v>20160</v>
      </c>
      <c r="AD158" s="264" t="str">
        <f>VLOOKUP(B158,'Salary -Dec-2024 (Full)'!$B$6:$AE$383,29,0)</f>
        <v>Bank</v>
      </c>
      <c r="AE158" s="264" t="str">
        <f>VLOOKUP(B158,'Salary -Dec-2024 (Full)'!$B$6:$AE$383,30,0)</f>
        <v>161.158.0069134</v>
      </c>
      <c r="AG158" s="61"/>
      <c r="AH158" s="183"/>
      <c r="AI158" s="319"/>
    </row>
    <row r="159" spans="1:35" s="47" customFormat="1" ht="27.75" customHeight="1">
      <c r="A159" s="253">
        <v>53</v>
      </c>
      <c r="B159" s="254" t="s">
        <v>1672</v>
      </c>
      <c r="C159" s="255" t="str">
        <f>VLOOKUP(B159,'Salary -Dec-2024 (Full)'!$B$6:$D$383,2,0)</f>
        <v>Md Jobayer Hassain</v>
      </c>
      <c r="D159" s="278" t="str">
        <f>VLOOKUP(B159,'Salary -Dec-2024 (Full)'!$B$6:$D$383,3,0)</f>
        <v>Sr. Territory Sales Officer</v>
      </c>
      <c r="E159" s="256" t="str">
        <f>VLOOKUP(B159,'Salary -Dec-2024 (Full)'!$B$6:$AE$383,4,0)</f>
        <v>S&amp;M</v>
      </c>
      <c r="F159" s="475">
        <f>VLOOKUP(B159,'Salary -Dec-2024 (Full)'!$B$6:$AE$383,5,0)</f>
        <v>45580</v>
      </c>
      <c r="G159" s="257">
        <f>VLOOKUP(B159,'Salary -Dec-2024 (Full)'!$B$6:$AE$383,6,0)</f>
        <v>31</v>
      </c>
      <c r="H159" s="258">
        <f>VLOOKUP(B159,'Salary -Dec-2024 (Full)'!$B$6:$AE$383,7,0)</f>
        <v>0</v>
      </c>
      <c r="I159" s="257">
        <f t="shared" si="457"/>
        <v>31</v>
      </c>
      <c r="J159" s="258">
        <f t="shared" si="458"/>
        <v>1290.3225806451612</v>
      </c>
      <c r="K159" s="72">
        <f>VLOOKUP(B159,'Salary -Dec-2024 (Full)'!$B$6:$AE$383,10,0)</f>
        <v>40000</v>
      </c>
      <c r="L159" s="72">
        <f t="shared" si="459"/>
        <v>24000</v>
      </c>
      <c r="M159" s="72">
        <f t="shared" si="460"/>
        <v>12000</v>
      </c>
      <c r="N159" s="72">
        <f t="shared" si="461"/>
        <v>2400</v>
      </c>
      <c r="O159" s="72">
        <f t="shared" si="462"/>
        <v>1600</v>
      </c>
      <c r="P159" s="259"/>
      <c r="Q159" s="260">
        <f t="shared" si="463"/>
        <v>40000</v>
      </c>
      <c r="R159" s="188">
        <f>VLOOKUP(B159,'Salary -Dec-2024 (Full)'!$B$6:$AE$383,17,0)</f>
        <v>40000</v>
      </c>
      <c r="S159" s="192">
        <f>VLOOKUP(B159,'Salary -Dec-2024 (Full)'!$B$6:$AE$383,18,0)</f>
        <v>0</v>
      </c>
      <c r="T159" s="192">
        <f>VLOOKUP(B159,'Salary -Dec-2024 (Full)'!$B$6:$AE$383,19,0)</f>
        <v>0</v>
      </c>
      <c r="U159" s="337">
        <f>VLOOKUP(B159,'Salary -Dec-2024 (Full)'!$B$6:$AE$383,20,0)</f>
        <v>0</v>
      </c>
      <c r="V159" s="263">
        <f t="shared" si="464"/>
        <v>40000</v>
      </c>
      <c r="W159" s="192">
        <f>VLOOKUP(B159,'Salary -Dec-2024 (Full)'!$B$6:$AE$383,22,0)</f>
        <v>0</v>
      </c>
      <c r="X159" s="192">
        <f>VLOOKUP(B159,'Salary -Dec-2024 (Full)'!$B$6:$AE$383,23,0)</f>
        <v>0</v>
      </c>
      <c r="Y159" s="337">
        <f>VLOOKUP(B159,'Salary -Dec-2024 (Full)'!$B$6:$AE$383,24,0)</f>
        <v>0</v>
      </c>
      <c r="Z159" s="192">
        <f>VLOOKUP(B159,'Salary -Dec-2024 (Full)'!$B$6:$AE$383,25,0)</f>
        <v>0</v>
      </c>
      <c r="AA159" s="192">
        <f>VLOOKUP(B159,'Salary -Dec-2024 (Full)'!$B$6:$AE$383,26,0)</f>
        <v>0</v>
      </c>
      <c r="AB159" s="384">
        <f t="shared" si="465"/>
        <v>0</v>
      </c>
      <c r="AC159" s="193">
        <f t="shared" si="466"/>
        <v>40000</v>
      </c>
      <c r="AD159" s="264" t="str">
        <f>VLOOKUP(B159,'Salary -Dec-2024 (Full)'!$B$6:$AE$383,29,0)</f>
        <v>Bank</v>
      </c>
      <c r="AE159" s="264" t="str">
        <f>VLOOKUP(B159,'Salary -Dec-2024 (Full)'!$B$6:$AE$383,30,0)</f>
        <v>163.103.0084846</v>
      </c>
      <c r="AG159" s="61"/>
      <c r="AH159" s="183"/>
      <c r="AI159" s="319"/>
    </row>
    <row r="160" spans="1:35" s="47" customFormat="1" ht="28.5" customHeight="1">
      <c r="A160" s="62">
        <v>54</v>
      </c>
      <c r="B160" s="254" t="s">
        <v>1674</v>
      </c>
      <c r="C160" s="255" t="str">
        <f>VLOOKUP(B160,'Salary -Dec-2024 (Full)'!$B$6:$D$383,2,0)</f>
        <v>Md Umor Faruq</v>
      </c>
      <c r="D160" s="278" t="str">
        <f>VLOOKUP(B160,'Salary -Dec-2024 (Full)'!$B$6:$D$383,3,0)</f>
        <v>Sr. Territory Sales Officer</v>
      </c>
      <c r="E160" s="256" t="str">
        <f>VLOOKUP(B160,'Salary -Dec-2024 (Full)'!$B$6:$AE$383,4,0)</f>
        <v>S&amp;M</v>
      </c>
      <c r="F160" s="475">
        <f>VLOOKUP(B160,'Salary -Dec-2024 (Full)'!$B$6:$AE$383,5,0)</f>
        <v>45584</v>
      </c>
      <c r="G160" s="257">
        <f>VLOOKUP(B160,'Salary -Dec-2024 (Full)'!$B$6:$AE$383,6,0)</f>
        <v>31</v>
      </c>
      <c r="H160" s="258">
        <f>VLOOKUP(B160,'Salary -Dec-2024 (Full)'!$B$6:$AE$383,7,0)</f>
        <v>0</v>
      </c>
      <c r="I160" s="257">
        <f t="shared" si="457"/>
        <v>31</v>
      </c>
      <c r="J160" s="258">
        <f t="shared" si="458"/>
        <v>1225.8064516129032</v>
      </c>
      <c r="K160" s="72">
        <f>VLOOKUP(B160,'Salary -Dec-2024 (Full)'!$B$6:$AE$383,10,0)</f>
        <v>38000</v>
      </c>
      <c r="L160" s="72">
        <f t="shared" si="459"/>
        <v>22800</v>
      </c>
      <c r="M160" s="72">
        <f t="shared" si="460"/>
        <v>11400</v>
      </c>
      <c r="N160" s="72">
        <f t="shared" si="461"/>
        <v>2280</v>
      </c>
      <c r="O160" s="72">
        <f t="shared" si="462"/>
        <v>1520</v>
      </c>
      <c r="P160" s="259"/>
      <c r="Q160" s="260">
        <f t="shared" si="463"/>
        <v>38000</v>
      </c>
      <c r="R160" s="188">
        <f>VLOOKUP(B160,'Salary -Dec-2024 (Full)'!$B$6:$AE$383,17,0)</f>
        <v>38000</v>
      </c>
      <c r="S160" s="192">
        <f>VLOOKUP(B160,'Salary -Dec-2024 (Full)'!$B$6:$AE$383,18,0)</f>
        <v>0</v>
      </c>
      <c r="T160" s="192">
        <f>VLOOKUP(B160,'Salary -Dec-2024 (Full)'!$B$6:$AE$383,19,0)</f>
        <v>0</v>
      </c>
      <c r="U160" s="337">
        <f>VLOOKUP(B160,'Salary -Dec-2024 (Full)'!$B$6:$AE$383,20,0)</f>
        <v>0</v>
      </c>
      <c r="V160" s="263">
        <f t="shared" si="464"/>
        <v>38000</v>
      </c>
      <c r="W160" s="192">
        <f>VLOOKUP(B160,'Salary -Dec-2024 (Full)'!$B$6:$AE$383,22,0)</f>
        <v>0</v>
      </c>
      <c r="X160" s="192">
        <f>VLOOKUP(B160,'Salary -Dec-2024 (Full)'!$B$6:$AE$383,23,0)</f>
        <v>0</v>
      </c>
      <c r="Y160" s="337">
        <f>VLOOKUP(B160,'Salary -Dec-2024 (Full)'!$B$6:$AE$383,24,0)</f>
        <v>0</v>
      </c>
      <c r="Z160" s="192">
        <f>VLOOKUP(B160,'Salary -Dec-2024 (Full)'!$B$6:$AE$383,25,0)</f>
        <v>0</v>
      </c>
      <c r="AA160" s="192">
        <f>VLOOKUP(B160,'Salary -Dec-2024 (Full)'!$B$6:$AE$383,26,0)</f>
        <v>0</v>
      </c>
      <c r="AB160" s="384">
        <f t="shared" si="465"/>
        <v>0</v>
      </c>
      <c r="AC160" s="193">
        <f t="shared" si="466"/>
        <v>38000</v>
      </c>
      <c r="AD160" s="264" t="str">
        <f>VLOOKUP(B160,'Salary -Dec-2024 (Full)'!$B$6:$AE$383,29,0)</f>
        <v>Bank</v>
      </c>
      <c r="AE160" s="264" t="str">
        <f>VLOOKUP(B160,'Salary -Dec-2024 (Full)'!$B$6:$AE$383,30,0)</f>
        <v>103.103.1040345</v>
      </c>
      <c r="AG160" s="61"/>
      <c r="AH160" s="183"/>
      <c r="AI160" s="319"/>
    </row>
    <row r="161" spans="1:35" s="47" customFormat="1" ht="29.25" customHeight="1">
      <c r="A161" s="62">
        <v>55</v>
      </c>
      <c r="B161" s="254" t="s">
        <v>1676</v>
      </c>
      <c r="C161" s="255" t="str">
        <f>VLOOKUP(B161,'Salary -Dec-2024 (Full)'!$B$6:$D$383,2,0)</f>
        <v>Md Abu Horaira Reegan</v>
      </c>
      <c r="D161" s="278" t="str">
        <f>VLOOKUP(B161,'Salary -Dec-2024 (Full)'!$B$6:$D$383,3,0)</f>
        <v>Sr. Territory Sales Officer</v>
      </c>
      <c r="E161" s="256" t="str">
        <f>VLOOKUP(B161,'Salary -Dec-2024 (Full)'!$B$6:$AE$383,4,0)</f>
        <v>S&amp;M</v>
      </c>
      <c r="F161" s="475">
        <f>VLOOKUP(B161,'Salary -Dec-2024 (Full)'!$B$6:$AE$383,5,0)</f>
        <v>45591</v>
      </c>
      <c r="G161" s="257">
        <f>VLOOKUP(B161,'Salary -Dec-2024 (Full)'!$B$6:$AE$383,6,0)</f>
        <v>31</v>
      </c>
      <c r="H161" s="258">
        <f>VLOOKUP(B161,'Salary -Dec-2024 (Full)'!$B$6:$AE$383,7,0)</f>
        <v>0</v>
      </c>
      <c r="I161" s="257">
        <f t="shared" si="457"/>
        <v>31</v>
      </c>
      <c r="J161" s="258">
        <f t="shared" si="458"/>
        <v>870.9677419354839</v>
      </c>
      <c r="K161" s="72">
        <f>VLOOKUP(B161,'Salary -Dec-2024 (Full)'!$B$6:$AE$383,10,0)</f>
        <v>27000</v>
      </c>
      <c r="L161" s="72">
        <f t="shared" si="459"/>
        <v>16200</v>
      </c>
      <c r="M161" s="72">
        <f t="shared" si="460"/>
        <v>8100</v>
      </c>
      <c r="N161" s="72">
        <f t="shared" si="461"/>
        <v>1620</v>
      </c>
      <c r="O161" s="72">
        <f t="shared" si="462"/>
        <v>1080</v>
      </c>
      <c r="P161" s="259"/>
      <c r="Q161" s="260">
        <f t="shared" si="463"/>
        <v>27000</v>
      </c>
      <c r="R161" s="188">
        <f>VLOOKUP(B161,'Salary -Dec-2024 (Full)'!$B$6:$AE$383,17,0)</f>
        <v>27000</v>
      </c>
      <c r="S161" s="192">
        <f>VLOOKUP(B161,'Salary -Dec-2024 (Full)'!$B$6:$AE$383,18,0)</f>
        <v>0</v>
      </c>
      <c r="T161" s="192">
        <f>VLOOKUP(B161,'Salary -Dec-2024 (Full)'!$B$6:$AE$383,19,0)</f>
        <v>0</v>
      </c>
      <c r="U161" s="337">
        <f>VLOOKUP(B161,'Salary -Dec-2024 (Full)'!$B$6:$AE$383,20,0)</f>
        <v>0</v>
      </c>
      <c r="V161" s="263">
        <f t="shared" si="464"/>
        <v>27000</v>
      </c>
      <c r="W161" s="192">
        <f>VLOOKUP(B161,'Salary -Dec-2024 (Full)'!$B$6:$AE$383,22,0)</f>
        <v>0</v>
      </c>
      <c r="X161" s="192">
        <f>VLOOKUP(B161,'Salary -Dec-2024 (Full)'!$B$6:$AE$383,23,0)</f>
        <v>0</v>
      </c>
      <c r="Y161" s="337">
        <f>VLOOKUP(B161,'Salary -Dec-2024 (Full)'!$B$6:$AE$383,24,0)</f>
        <v>0</v>
      </c>
      <c r="Z161" s="192">
        <f>VLOOKUP(B161,'Salary -Dec-2024 (Full)'!$B$6:$AE$383,25,0)</f>
        <v>2175</v>
      </c>
      <c r="AA161" s="192">
        <f>VLOOKUP(B161,'Salary -Dec-2024 (Full)'!$B$6:$AE$383,26,0)</f>
        <v>0</v>
      </c>
      <c r="AB161" s="384">
        <f t="shared" si="465"/>
        <v>2175</v>
      </c>
      <c r="AC161" s="193">
        <f t="shared" si="466"/>
        <v>24825</v>
      </c>
      <c r="AD161" s="264" t="str">
        <f>VLOOKUP(B161,'Salary -Dec-2024 (Full)'!$B$6:$AE$383,29,0)</f>
        <v>Bank</v>
      </c>
      <c r="AE161" s="264" t="str">
        <f>VLOOKUP(B161,'Salary -Dec-2024 (Full)'!$B$6:$AE$383,30,0)</f>
        <v>172.103.0066324</v>
      </c>
      <c r="AG161" s="61"/>
      <c r="AH161" s="183"/>
      <c r="AI161" s="319"/>
    </row>
    <row r="162" spans="1:35" s="47" customFormat="1" ht="30" customHeight="1">
      <c r="A162" s="253">
        <v>56</v>
      </c>
      <c r="B162" s="254" t="s">
        <v>1790</v>
      </c>
      <c r="C162" s="255" t="str">
        <f>VLOOKUP(B162,'Salary -Dec-2024 (Full)'!$B$6:$D$383,2,0)</f>
        <v>Md Mahfuzur Rahman</v>
      </c>
      <c r="D162" s="278" t="str">
        <f>VLOOKUP(B162,'Salary -Dec-2024 (Full)'!$B$6:$D$383,3,0)</f>
        <v>Sr. Territory Sales Officer</v>
      </c>
      <c r="E162" s="256" t="str">
        <f>VLOOKUP(B162,'Salary -Dec-2024 (Full)'!$B$6:$AE$383,4,0)</f>
        <v>Tractor</v>
      </c>
      <c r="F162" s="475">
        <f>VLOOKUP(B162,'Salary -Dec-2024 (Full)'!$B$6:$AE$383,5,0)</f>
        <v>45600</v>
      </c>
      <c r="G162" s="257">
        <f>VLOOKUP(B162,'Salary -Dec-2024 (Full)'!$B$6:$AE$383,6,0)</f>
        <v>31</v>
      </c>
      <c r="H162" s="258">
        <f>VLOOKUP(B162,'Salary -Dec-2024 (Full)'!$B$6:$AE$383,7,0)</f>
        <v>0</v>
      </c>
      <c r="I162" s="257">
        <f t="shared" ref="I162:I164" si="467">G162-H162</f>
        <v>31</v>
      </c>
      <c r="J162" s="258">
        <f t="shared" ref="J162:J164" si="468">Q162/G162</f>
        <v>967.74193548387098</v>
      </c>
      <c r="K162" s="72">
        <f>VLOOKUP(B162,'Salary -Dec-2024 (Full)'!$B$6:$AE$383,10,0)</f>
        <v>30000</v>
      </c>
      <c r="L162" s="72">
        <f t="shared" ref="L162:L164" si="469">K162*60%</f>
        <v>18000</v>
      </c>
      <c r="M162" s="72">
        <f t="shared" ref="M162:M164" si="470">K162*30%</f>
        <v>9000</v>
      </c>
      <c r="N162" s="72">
        <f t="shared" ref="N162:N164" si="471">K162*6%</f>
        <v>1800</v>
      </c>
      <c r="O162" s="72">
        <f t="shared" ref="O162:O164" si="472">K162*4%</f>
        <v>1200</v>
      </c>
      <c r="P162" s="259"/>
      <c r="Q162" s="260">
        <f t="shared" ref="Q162:Q164" si="473">SUM(L162:P162)</f>
        <v>30000</v>
      </c>
      <c r="R162" s="345">
        <f>VLOOKUP(B162,'Salary -Dec-2024 (Full)'!$B$6:$AE$383,17,0)</f>
        <v>30000</v>
      </c>
      <c r="S162" s="192">
        <f>VLOOKUP(B162,'Salary -Dec-2024 (Full)'!$B$6:$AE$383,18,0)</f>
        <v>0</v>
      </c>
      <c r="T162" s="192">
        <f>VLOOKUP(B162,'Salary -Dec-2024 (Full)'!$B$6:$AE$383,19,0)</f>
        <v>0</v>
      </c>
      <c r="U162" s="337">
        <f>VLOOKUP(B162,'Salary -Dec-2024 (Full)'!$B$6:$AE$383,20,0)</f>
        <v>0</v>
      </c>
      <c r="V162" s="263">
        <f t="shared" ref="V162:V164" si="474">SUM(R162:U162)</f>
        <v>30000</v>
      </c>
      <c r="W162" s="192">
        <f>VLOOKUP(B162,'Salary -Dec-2024 (Full)'!$B$6:$AE$383,22,0)</f>
        <v>0</v>
      </c>
      <c r="X162" s="192">
        <f>VLOOKUP(B162,'Salary -Dec-2024 (Full)'!$B$6:$AE$383,23,0)</f>
        <v>0</v>
      </c>
      <c r="Y162" s="337">
        <f>VLOOKUP(B162,'Salary -Dec-2024 (Full)'!$B$6:$AE$383,24,0)</f>
        <v>0</v>
      </c>
      <c r="Z162" s="192">
        <f>VLOOKUP(B162,'Salary -Dec-2024 (Full)'!$B$6:$AE$383,25,0)</f>
        <v>2175</v>
      </c>
      <c r="AA162" s="192">
        <f>VLOOKUP(B162,'Salary -Dec-2024 (Full)'!$B$6:$AE$383,26,0)</f>
        <v>0</v>
      </c>
      <c r="AB162" s="384">
        <f t="shared" ref="AB162:AB164" si="475">SUM(W162:AA162)</f>
        <v>2175</v>
      </c>
      <c r="AC162" s="193">
        <f t="shared" ref="AC162:AC164" si="476">ROUND(V162-AB162,0)</f>
        <v>27825</v>
      </c>
      <c r="AD162" s="264" t="str">
        <f>VLOOKUP(B162,'Salary -Dec-2024 (Full)'!$B$6:$AE$383,29,0)</f>
        <v>Bank</v>
      </c>
      <c r="AE162" s="264" t="str">
        <f>VLOOKUP(B162,'Salary -Dec-2024 (Full)'!$B$6:$AE$383,30,0)</f>
        <v>161.158.0072082</v>
      </c>
      <c r="AH162" s="183"/>
      <c r="AI162" s="319"/>
    </row>
    <row r="163" spans="1:35" s="47" customFormat="1" ht="28.5" customHeight="1">
      <c r="A163" s="253">
        <v>57</v>
      </c>
      <c r="B163" s="254" t="s">
        <v>1792</v>
      </c>
      <c r="C163" s="255" t="str">
        <f>VLOOKUP(B163,'Salary -Dec-2024 (Full)'!$B$6:$D$383,2,0)</f>
        <v>S.M Khalid Hasan Bappy</v>
      </c>
      <c r="D163" s="278" t="str">
        <f>VLOOKUP(B163,'Salary -Dec-2024 (Full)'!$B$6:$D$383,3,0)</f>
        <v>Sr. Territory Sales Officer</v>
      </c>
      <c r="E163" s="256" t="str">
        <f>VLOOKUP(B163,'Salary -Dec-2024 (Full)'!$B$6:$AE$383,4,0)</f>
        <v>Tractor</v>
      </c>
      <c r="F163" s="475">
        <f>VLOOKUP(B163,'Salary -Dec-2024 (Full)'!$B$6:$AE$383,5,0)</f>
        <v>45602</v>
      </c>
      <c r="G163" s="257">
        <f>VLOOKUP(B163,'Salary -Dec-2024 (Full)'!$B$6:$AE$383,6,0)</f>
        <v>31</v>
      </c>
      <c r="H163" s="258">
        <f>VLOOKUP(B163,'Salary -Dec-2024 (Full)'!$B$6:$AE$383,7,0)</f>
        <v>24</v>
      </c>
      <c r="I163" s="257">
        <f t="shared" si="467"/>
        <v>7</v>
      </c>
      <c r="J163" s="258">
        <f t="shared" si="468"/>
        <v>838.70967741935488</v>
      </c>
      <c r="K163" s="72">
        <f>VLOOKUP(B163,'Salary -Dec-2024 (Full)'!$B$6:$AE$383,10,0)</f>
        <v>26000</v>
      </c>
      <c r="L163" s="72">
        <f t="shared" si="469"/>
        <v>15600</v>
      </c>
      <c r="M163" s="72">
        <f t="shared" si="470"/>
        <v>7800</v>
      </c>
      <c r="N163" s="72">
        <f t="shared" si="471"/>
        <v>1560</v>
      </c>
      <c r="O163" s="72">
        <f t="shared" si="472"/>
        <v>1040</v>
      </c>
      <c r="P163" s="259"/>
      <c r="Q163" s="260">
        <f t="shared" si="473"/>
        <v>26000</v>
      </c>
      <c r="R163" s="345">
        <f>VLOOKUP(B163,'Salary -Dec-2024 (Full)'!$B$6:$AE$383,17,0)</f>
        <v>5871</v>
      </c>
      <c r="S163" s="192">
        <f>VLOOKUP(B163,'Salary -Dec-2024 (Full)'!$B$6:$AE$383,18,0)</f>
        <v>0</v>
      </c>
      <c r="T163" s="192">
        <f>VLOOKUP(B163,'Salary -Dec-2024 (Full)'!$B$6:$AE$383,19,0)</f>
        <v>0</v>
      </c>
      <c r="U163" s="337">
        <f>VLOOKUP(B163,'Salary -Dec-2024 (Full)'!$B$6:$AE$383,20,0)</f>
        <v>0</v>
      </c>
      <c r="V163" s="263">
        <f t="shared" si="474"/>
        <v>5871</v>
      </c>
      <c r="W163" s="192">
        <f>VLOOKUP(B163,'Salary -Dec-2024 (Full)'!$B$6:$AE$383,22,0)</f>
        <v>0</v>
      </c>
      <c r="X163" s="192">
        <f>VLOOKUP(B163,'Salary -Dec-2024 (Full)'!$B$6:$AE$383,23,0)</f>
        <v>0</v>
      </c>
      <c r="Y163" s="337">
        <f>VLOOKUP(B163,'Salary -Dec-2024 (Full)'!$B$6:$AE$383,24,0)</f>
        <v>0</v>
      </c>
      <c r="Z163" s="192">
        <f>VLOOKUP(B163,'Salary -Dec-2024 (Full)'!$B$6:$AE$383,25,0)</f>
        <v>0</v>
      </c>
      <c r="AA163" s="192">
        <f>VLOOKUP(B163,'Salary -Dec-2024 (Full)'!$B$6:$AE$383,26,0)</f>
        <v>0</v>
      </c>
      <c r="AB163" s="384">
        <f t="shared" si="475"/>
        <v>0</v>
      </c>
      <c r="AC163" s="193">
        <f t="shared" si="476"/>
        <v>5871</v>
      </c>
      <c r="AD163" s="264" t="str">
        <f>VLOOKUP(B163,'Salary -Dec-2024 (Full)'!$B$6:$AE$383,29,0)</f>
        <v>Cash</v>
      </c>
      <c r="AE163" s="264" t="str">
        <f>VLOOKUP(B163,'Salary -Dec-2024 (Full)'!$B$6:$AE$383,30,0)</f>
        <v>Resign</v>
      </c>
      <c r="AH163" s="183"/>
      <c r="AI163" s="319"/>
    </row>
    <row r="164" spans="1:35" s="47" customFormat="1" ht="29.25" customHeight="1">
      <c r="A164" s="253">
        <v>58</v>
      </c>
      <c r="B164" s="254" t="s">
        <v>1794</v>
      </c>
      <c r="C164" s="255" t="str">
        <f>VLOOKUP(B164,'Salary -Dec-2024 (Full)'!$B$6:$D$383,2,0)</f>
        <v>Md Zubair Ibna Kabir</v>
      </c>
      <c r="D164" s="278" t="str">
        <f>VLOOKUP(B164,'Salary -Dec-2024 (Full)'!$B$6:$D$383,3,0)</f>
        <v>Assistant Territory Sales officer</v>
      </c>
      <c r="E164" s="256" t="str">
        <f>VLOOKUP(B164,'Salary -Dec-2024 (Full)'!$B$6:$AE$383,4,0)</f>
        <v>Tractor</v>
      </c>
      <c r="F164" s="475">
        <f>VLOOKUP(B164,'Salary -Dec-2024 (Full)'!$B$6:$AE$383,5,0)</f>
        <v>45602</v>
      </c>
      <c r="G164" s="257">
        <f>VLOOKUP(B164,'Salary -Dec-2024 (Full)'!$B$6:$AE$383,6,0)</f>
        <v>31</v>
      </c>
      <c r="H164" s="258">
        <f>VLOOKUP(B164,'Salary -Dec-2024 (Full)'!$B$6:$AE$383,7,0)</f>
        <v>0</v>
      </c>
      <c r="I164" s="257">
        <f t="shared" si="467"/>
        <v>31</v>
      </c>
      <c r="J164" s="258">
        <f t="shared" si="468"/>
        <v>580.64516129032256</v>
      </c>
      <c r="K164" s="72">
        <f>VLOOKUP(B164,'Salary -Dec-2024 (Full)'!$B$6:$AE$383,10,0)</f>
        <v>18000</v>
      </c>
      <c r="L164" s="72">
        <f t="shared" si="469"/>
        <v>10800</v>
      </c>
      <c r="M164" s="72">
        <f t="shared" si="470"/>
        <v>5400</v>
      </c>
      <c r="N164" s="72">
        <f t="shared" si="471"/>
        <v>1080</v>
      </c>
      <c r="O164" s="72">
        <f t="shared" si="472"/>
        <v>720</v>
      </c>
      <c r="P164" s="259"/>
      <c r="Q164" s="260">
        <f t="shared" si="473"/>
        <v>18000</v>
      </c>
      <c r="R164" s="345">
        <f>VLOOKUP(B164,'Salary -Dec-2024 (Full)'!$B$6:$AE$383,17,0)</f>
        <v>18000</v>
      </c>
      <c r="S164" s="192">
        <f>VLOOKUP(B164,'Salary -Dec-2024 (Full)'!$B$6:$AE$383,18,0)</f>
        <v>0</v>
      </c>
      <c r="T164" s="192">
        <f>VLOOKUP(B164,'Salary -Dec-2024 (Full)'!$B$6:$AE$383,19,0)</f>
        <v>0</v>
      </c>
      <c r="U164" s="337">
        <f>VLOOKUP(B164,'Salary -Dec-2024 (Full)'!$B$6:$AE$383,20,0)</f>
        <v>0</v>
      </c>
      <c r="V164" s="263">
        <f t="shared" si="474"/>
        <v>18000</v>
      </c>
      <c r="W164" s="192">
        <f>VLOOKUP(B164,'Salary -Dec-2024 (Full)'!$B$6:$AE$383,22,0)</f>
        <v>0</v>
      </c>
      <c r="X164" s="192">
        <f>VLOOKUP(B164,'Salary -Dec-2024 (Full)'!$B$6:$AE$383,23,0)</f>
        <v>0</v>
      </c>
      <c r="Y164" s="337">
        <f>VLOOKUP(B164,'Salary -Dec-2024 (Full)'!$B$6:$AE$383,24,0)</f>
        <v>0</v>
      </c>
      <c r="Z164" s="192">
        <f>VLOOKUP(B164,'Salary -Dec-2024 (Full)'!$B$6:$AE$383,25,0)</f>
        <v>0</v>
      </c>
      <c r="AA164" s="192">
        <f>VLOOKUP(B164,'Salary -Dec-2024 (Full)'!$B$6:$AE$383,26,0)</f>
        <v>0</v>
      </c>
      <c r="AB164" s="384">
        <f t="shared" si="475"/>
        <v>0</v>
      </c>
      <c r="AC164" s="193">
        <f t="shared" si="476"/>
        <v>18000</v>
      </c>
      <c r="AD164" s="264" t="str">
        <f>VLOOKUP(B164,'Salary -Dec-2024 (Full)'!$B$6:$AE$383,29,0)</f>
        <v>Bank</v>
      </c>
      <c r="AE164" s="264" t="str">
        <f>VLOOKUP(B164,'Salary -Dec-2024 (Full)'!$B$6:$AE$383,30,0)</f>
        <v>187.103.0434080</v>
      </c>
      <c r="AH164" s="183"/>
      <c r="AI164" s="319"/>
    </row>
    <row r="165" spans="1:35" s="30" customFormat="1" ht="18.75" customHeight="1">
      <c r="A165" s="1031"/>
      <c r="B165" s="1032"/>
      <c r="C165" s="1033"/>
      <c r="D165" s="1034"/>
      <c r="E165" s="1040"/>
      <c r="F165" s="1091"/>
      <c r="G165" s="1036"/>
      <c r="H165" s="1036"/>
      <c r="I165" s="1036"/>
      <c r="J165" s="1037"/>
      <c r="K165" s="1037">
        <f t="shared" ref="K165:AC165" si="477">SUM(K107:K164)</f>
        <v>2171400</v>
      </c>
      <c r="L165" s="1037">
        <f t="shared" si="477"/>
        <v>1302840</v>
      </c>
      <c r="M165" s="1037">
        <f t="shared" si="477"/>
        <v>651420</v>
      </c>
      <c r="N165" s="1037">
        <f t="shared" si="477"/>
        <v>130284</v>
      </c>
      <c r="O165" s="1037">
        <f t="shared" si="477"/>
        <v>86856</v>
      </c>
      <c r="P165" s="1037">
        <f t="shared" si="477"/>
        <v>0</v>
      </c>
      <c r="Q165" s="1037">
        <f t="shared" si="477"/>
        <v>2171400</v>
      </c>
      <c r="R165" s="1037">
        <f t="shared" si="477"/>
        <v>2092368</v>
      </c>
      <c r="S165" s="1037">
        <f t="shared" si="477"/>
        <v>2000</v>
      </c>
      <c r="T165" s="1037">
        <f t="shared" si="477"/>
        <v>0</v>
      </c>
      <c r="U165" s="1037">
        <f t="shared" si="477"/>
        <v>0</v>
      </c>
      <c r="V165" s="1037">
        <f t="shared" si="477"/>
        <v>2094368</v>
      </c>
      <c r="W165" s="1037">
        <f t="shared" si="477"/>
        <v>8225</v>
      </c>
      <c r="X165" s="1037">
        <f t="shared" si="477"/>
        <v>1500</v>
      </c>
      <c r="Y165" s="1037">
        <f t="shared" si="477"/>
        <v>50322</v>
      </c>
      <c r="Z165" s="1037">
        <f t="shared" si="477"/>
        <v>56040</v>
      </c>
      <c r="AA165" s="1037">
        <f t="shared" si="477"/>
        <v>0</v>
      </c>
      <c r="AB165" s="1037">
        <f t="shared" si="477"/>
        <v>116087</v>
      </c>
      <c r="AC165" s="1037">
        <f t="shared" si="477"/>
        <v>1978281</v>
      </c>
      <c r="AD165" s="1038"/>
      <c r="AE165" s="1038"/>
      <c r="AG165" s="61"/>
      <c r="AH165" s="183"/>
      <c r="AI165" s="320"/>
    </row>
    <row r="166" spans="1:35" s="47" customFormat="1" ht="18" customHeight="1">
      <c r="A166" s="116" t="s">
        <v>305</v>
      </c>
      <c r="B166" s="117"/>
      <c r="C166" s="117"/>
      <c r="D166" s="283"/>
      <c r="E166" s="117"/>
      <c r="F166" s="117"/>
      <c r="G166" s="117"/>
      <c r="H166" s="247"/>
      <c r="I166" s="117"/>
      <c r="J166" s="117"/>
      <c r="K166" s="117"/>
      <c r="L166" s="117"/>
      <c r="M166" s="117"/>
      <c r="N166" s="117"/>
      <c r="O166" s="117"/>
      <c r="P166" s="117"/>
      <c r="Q166" s="117"/>
      <c r="R166" s="117"/>
      <c r="S166" s="117"/>
      <c r="T166" s="117"/>
      <c r="U166" s="117"/>
      <c r="V166" s="117"/>
      <c r="W166" s="117"/>
      <c r="X166" s="117"/>
      <c r="Y166" s="117"/>
      <c r="Z166" s="117"/>
      <c r="AA166" s="117"/>
      <c r="AB166" s="117"/>
      <c r="AC166" s="117"/>
      <c r="AD166" s="117"/>
      <c r="AE166" s="620"/>
      <c r="AF166" s="61"/>
      <c r="AG166" s="61"/>
      <c r="AH166" s="183"/>
      <c r="AI166" s="320"/>
    </row>
    <row r="167" spans="1:35" s="61" customFormat="1" ht="24" customHeight="1">
      <c r="A167" s="48">
        <v>1</v>
      </c>
      <c r="B167" s="49" t="s">
        <v>1375</v>
      </c>
      <c r="C167" s="255" t="str">
        <f>VLOOKUP(B167,'Salary -Dec-2024 (Full)'!$B$6:$D$383,2,0)</f>
        <v>Md Ashraful Alam</v>
      </c>
      <c r="D167" s="278" t="str">
        <f>VLOOKUP(B167,'Salary -Dec-2024 (Full)'!$B$6:$D$383,3,0)</f>
        <v>Driver</v>
      </c>
      <c r="E167" s="256" t="str">
        <f>VLOOKUP(B167,'Salary -Dec-2024 (Full)'!$B$6:$AE$383,4,0)</f>
        <v>Transport</v>
      </c>
      <c r="F167" s="265">
        <f>VLOOKUP(B167,'Salary -Dec-2024 (Full)'!$B$6:$AE$383,5,0)</f>
        <v>45444</v>
      </c>
      <c r="G167" s="257">
        <f>VLOOKUP(B167,'Salary -Dec-2024 (Full)'!$B$6:$AE$383,6,0)</f>
        <v>31</v>
      </c>
      <c r="H167" s="258">
        <f>VLOOKUP(B167,'Salary -Dec-2024 (Full)'!$B$6:$AE$383,7,0)</f>
        <v>0</v>
      </c>
      <c r="I167" s="66">
        <f t="shared" ref="I167:I168" si="478">G167-H167</f>
        <v>31</v>
      </c>
      <c r="J167" s="67">
        <f t="shared" ref="J167:J168" si="479">Q167/G167</f>
        <v>580.64516129032256</v>
      </c>
      <c r="K167" s="68">
        <f>VLOOKUP(B167,'Salary -Dec-2024 (Full)'!$B$6:$AE$383,10,0)</f>
        <v>18000</v>
      </c>
      <c r="L167" s="68">
        <f t="shared" ref="L167:L168" si="480">K167*60%</f>
        <v>10800</v>
      </c>
      <c r="M167" s="68">
        <f t="shared" ref="M167:M168" si="481">K167*30%</f>
        <v>5400</v>
      </c>
      <c r="N167" s="68">
        <f t="shared" ref="N167:N168" si="482">K167*6%</f>
        <v>1080</v>
      </c>
      <c r="O167" s="68">
        <f t="shared" ref="O167:O168" si="483">K167*4%</f>
        <v>720</v>
      </c>
      <c r="P167" s="259"/>
      <c r="Q167" s="260">
        <f t="shared" ref="Q167:Q168" si="484">SUM(L167:P167)</f>
        <v>18000</v>
      </c>
      <c r="R167" s="188">
        <f>VLOOKUP(B167,'Salary -Dec-2024 (Full)'!$B$6:$AE$383,17,0)</f>
        <v>18000</v>
      </c>
      <c r="S167" s="192">
        <f>VLOOKUP(B167,'Salary -Dec-2024 (Full)'!$B$6:$AE$383,18,0)</f>
        <v>0</v>
      </c>
      <c r="T167" s="192">
        <f>VLOOKUP(B167,'Salary -Dec-2024 (Full)'!$B$6:$AE$383,19,0)</f>
        <v>0</v>
      </c>
      <c r="U167" s="337">
        <f>VLOOKUP(B167,'Salary -Dec-2024 (Full)'!$B$6:$AE$383,20,0)</f>
        <v>0</v>
      </c>
      <c r="V167" s="263">
        <f t="shared" ref="V167:V168" si="485">SUM(R167:U167)</f>
        <v>18000</v>
      </c>
      <c r="W167" s="192">
        <f>VLOOKUP(B167,'Salary -Dec-2024 (Full)'!$B$6:$AE$383,22,0)</f>
        <v>0</v>
      </c>
      <c r="X167" s="192">
        <f>VLOOKUP(B167,'Salary -Dec-2024 (Full)'!$B$6:$AE$383,23,0)</f>
        <v>0</v>
      </c>
      <c r="Y167" s="337">
        <f>VLOOKUP(B167,'Salary -Dec-2024 (Full)'!$B$6:$AE$383,24,0)</f>
        <v>0</v>
      </c>
      <c r="Z167" s="192">
        <f>VLOOKUP(B167,'Salary -Dec-2024 (Full)'!$B$6:$AE$383,25,0)</f>
        <v>0</v>
      </c>
      <c r="AA167" s="192">
        <f>VLOOKUP(B167,'Salary -Dec-2024 (Full)'!$B$6:$AE$383,26,0)</f>
        <v>0</v>
      </c>
      <c r="AB167" s="73">
        <f t="shared" ref="AB167:AB170" si="486">SUM(W167:AA167)</f>
        <v>0</v>
      </c>
      <c r="AC167" s="73">
        <f t="shared" ref="AC167:AC170" si="487">ROUND(V167-AB167,0)</f>
        <v>18000</v>
      </c>
      <c r="AD167" s="74" t="str">
        <f>VLOOKUP(B167,'Salary -Dec-2024 (Full)'!$B$6:$AE$383,29,0)</f>
        <v>Bank</v>
      </c>
      <c r="AE167" s="618" t="str">
        <f>VLOOKUP(B167,'Salary -Dec-2024 (Full)'!$B$6:$AE$2853,30,0)</f>
        <v>103.103.1413520</v>
      </c>
      <c r="AH167" s="183"/>
      <c r="AI167" s="320"/>
    </row>
    <row r="168" spans="1:35" s="61" customFormat="1" ht="24" customHeight="1">
      <c r="A168" s="62">
        <v>2</v>
      </c>
      <c r="B168" s="63" t="s">
        <v>1456</v>
      </c>
      <c r="C168" s="255" t="str">
        <f>VLOOKUP(B168,'Salary -Dec-2024 (Full)'!$B$6:$D$383,2,0)</f>
        <v>Md.Rahim Badsha</v>
      </c>
      <c r="D168" s="278" t="str">
        <f>VLOOKUP(B168,'Salary -Dec-2024 (Full)'!$B$6:$D$383,3,0)</f>
        <v>Driver</v>
      </c>
      <c r="E168" s="256" t="str">
        <f>VLOOKUP(B168,'Salary -Dec-2024 (Full)'!$B$6:$AE$383,4,0)</f>
        <v>Transport</v>
      </c>
      <c r="F168" s="265">
        <f>VLOOKUP(B168,'Salary -Dec-2024 (Full)'!$B$6:$AE$383,5,0)</f>
        <v>45474</v>
      </c>
      <c r="G168" s="257">
        <f>VLOOKUP(B168,'Salary -Dec-2024 (Full)'!$B$6:$AE$383,6,0)</f>
        <v>31</v>
      </c>
      <c r="H168" s="258">
        <f>VLOOKUP(B168,'Salary -Dec-2024 (Full)'!$B$6:$AE$383,7,0)</f>
        <v>0</v>
      </c>
      <c r="I168" s="66">
        <f t="shared" si="478"/>
        <v>31</v>
      </c>
      <c r="J168" s="67">
        <f t="shared" si="479"/>
        <v>645.16129032258061</v>
      </c>
      <c r="K168" s="68">
        <f>VLOOKUP(B168,'Salary -Dec-2024 (Full)'!$B$6:$AE$383,10,0)</f>
        <v>20000</v>
      </c>
      <c r="L168" s="68">
        <f t="shared" si="480"/>
        <v>12000</v>
      </c>
      <c r="M168" s="68">
        <f t="shared" si="481"/>
        <v>6000</v>
      </c>
      <c r="N168" s="68">
        <f t="shared" si="482"/>
        <v>1200</v>
      </c>
      <c r="O168" s="68">
        <f t="shared" si="483"/>
        <v>800</v>
      </c>
      <c r="P168" s="259"/>
      <c r="Q168" s="260">
        <f t="shared" si="484"/>
        <v>20000</v>
      </c>
      <c r="R168" s="188">
        <f>VLOOKUP(B168,'Salary -Dec-2024 (Full)'!$B$6:$AE$383,17,0)</f>
        <v>20000</v>
      </c>
      <c r="S168" s="192">
        <f>VLOOKUP(B168,'Salary -Dec-2024 (Full)'!$B$6:$AE$383,18,0)</f>
        <v>0</v>
      </c>
      <c r="T168" s="192">
        <f>VLOOKUP(B168,'Salary -Dec-2024 (Full)'!$B$6:$AE$383,19,0)</f>
        <v>0</v>
      </c>
      <c r="U168" s="337">
        <f>VLOOKUP(B168,'Salary -Dec-2024 (Full)'!$B$6:$AE$383,20,0)</f>
        <v>0</v>
      </c>
      <c r="V168" s="263">
        <f t="shared" si="485"/>
        <v>20000</v>
      </c>
      <c r="W168" s="192">
        <f>VLOOKUP(B168,'Salary -Dec-2024 (Full)'!$B$6:$AE$383,22,0)</f>
        <v>0</v>
      </c>
      <c r="X168" s="192">
        <f>VLOOKUP(B168,'Salary -Dec-2024 (Full)'!$B$6:$AE$383,23,0)</f>
        <v>0</v>
      </c>
      <c r="Y168" s="337">
        <f>VLOOKUP(B168,'Salary -Dec-2024 (Full)'!$B$6:$AE$383,24,0)</f>
        <v>0</v>
      </c>
      <c r="Z168" s="192">
        <f>VLOOKUP(B168,'Salary -Dec-2024 (Full)'!$B$6:$AE$383,25,0)</f>
        <v>0</v>
      </c>
      <c r="AA168" s="192">
        <f>VLOOKUP(B168,'Salary -Dec-2024 (Full)'!$B$6:$AE$383,26,0)</f>
        <v>0</v>
      </c>
      <c r="AB168" s="73">
        <f t="shared" si="486"/>
        <v>0</v>
      </c>
      <c r="AC168" s="73">
        <f t="shared" si="487"/>
        <v>20000</v>
      </c>
      <c r="AD168" s="74" t="str">
        <f>VLOOKUP(B168,'Salary -Dec-2024 (Full)'!$B$6:$AE$383,29,0)</f>
        <v>Bank</v>
      </c>
      <c r="AE168" s="618" t="str">
        <f>VLOOKUP(B168,'Salary -Dec-2024 (Full)'!$B$6:$AE$2853,30,0)</f>
        <v>103.103.1403730</v>
      </c>
      <c r="AH168" s="183"/>
      <c r="AI168" s="320"/>
    </row>
    <row r="169" spans="1:35" s="61" customFormat="1" ht="24" customHeight="1">
      <c r="A169" s="62">
        <v>3</v>
      </c>
      <c r="B169" s="63" t="s">
        <v>665</v>
      </c>
      <c r="C169" s="255" t="str">
        <f>VLOOKUP(B169,'Salary -Dec-2024 (Full)'!$B$6:$D$383,2,0)</f>
        <v>Md. Saddam Hosen</v>
      </c>
      <c r="D169" s="278" t="str">
        <f>VLOOKUP(B169,'Salary -Dec-2024 (Full)'!$B$6:$D$383,3,0)</f>
        <v>Driver</v>
      </c>
      <c r="E169" s="256" t="str">
        <f>VLOOKUP(B169,'Salary -Dec-2024 (Full)'!$B$6:$AE$383,4,0)</f>
        <v>Transport</v>
      </c>
      <c r="F169" s="265">
        <f>VLOOKUP(B169,'Salary -Dec-2024 (Full)'!$B$6:$AE$383,5,0)</f>
        <v>45059</v>
      </c>
      <c r="G169" s="257">
        <f>VLOOKUP(B169,'Salary -Dec-2024 (Full)'!$B$6:$AE$383,6,0)</f>
        <v>31</v>
      </c>
      <c r="H169" s="258">
        <f>VLOOKUP(B169,'Salary -Dec-2024 (Full)'!$B$6:$AE$383,7,0)</f>
        <v>0</v>
      </c>
      <c r="I169" s="66">
        <f t="shared" ref="I169:I170" si="488">G169-H169</f>
        <v>31</v>
      </c>
      <c r="J169" s="67">
        <f t="shared" ref="J169:J170" si="489">Q169/G169</f>
        <v>612.90322580645159</v>
      </c>
      <c r="K169" s="68">
        <f>VLOOKUP(B169,'Salary -Dec-2024 (Full)'!$B$6:$AE$383,10,0)</f>
        <v>19000</v>
      </c>
      <c r="L169" s="68">
        <f t="shared" ref="L169:L170" si="490">K169*60%</f>
        <v>11400</v>
      </c>
      <c r="M169" s="68">
        <f t="shared" ref="M169:M170" si="491">K169*30%</f>
        <v>5700</v>
      </c>
      <c r="N169" s="68">
        <f t="shared" ref="N169:N170" si="492">K169*6%</f>
        <v>1140</v>
      </c>
      <c r="O169" s="68">
        <f t="shared" ref="O169:O170" si="493">K169*4%</f>
        <v>760</v>
      </c>
      <c r="P169" s="259"/>
      <c r="Q169" s="260">
        <f t="shared" ref="Q169:Q170" si="494">SUM(L169:P169)</f>
        <v>19000</v>
      </c>
      <c r="R169" s="188">
        <f>VLOOKUP(B169,'Salary -Dec-2024 (Full)'!$B$6:$AE$383,17,0)</f>
        <v>19000</v>
      </c>
      <c r="S169" s="192">
        <f>VLOOKUP(B169,'Salary -Dec-2024 (Full)'!$B$6:$AE$383,18,0)</f>
        <v>0</v>
      </c>
      <c r="T169" s="192">
        <f>VLOOKUP(B169,'Salary -Dec-2024 (Full)'!$B$6:$AE$383,19,0)</f>
        <v>0</v>
      </c>
      <c r="U169" s="337">
        <f>VLOOKUP(B169,'Salary -Dec-2024 (Full)'!$B$6:$AE$383,20,0)</f>
        <v>0</v>
      </c>
      <c r="V169" s="263">
        <f t="shared" ref="V169:V170" si="495">SUM(R169:U169)</f>
        <v>19000</v>
      </c>
      <c r="W169" s="192">
        <f>VLOOKUP(B169,'Salary -Dec-2024 (Full)'!$B$6:$AE$383,22,0)</f>
        <v>0</v>
      </c>
      <c r="X169" s="192">
        <f>VLOOKUP(B169,'Salary -Dec-2024 (Full)'!$B$6:$AE$383,23,0)</f>
        <v>0</v>
      </c>
      <c r="Y169" s="337">
        <f>VLOOKUP(B169,'Salary -Dec-2024 (Full)'!$B$6:$AE$383,24,0)</f>
        <v>570</v>
      </c>
      <c r="Z169" s="192">
        <f>VLOOKUP(B169,'Salary -Dec-2024 (Full)'!$B$6:$AE$383,25,0)</f>
        <v>0</v>
      </c>
      <c r="AA169" s="192">
        <f>VLOOKUP(B169,'Salary -Dec-2024 (Full)'!$B$6:$AE$383,26,0)</f>
        <v>0</v>
      </c>
      <c r="AB169" s="73">
        <f t="shared" si="486"/>
        <v>570</v>
      </c>
      <c r="AC169" s="73">
        <f t="shared" si="487"/>
        <v>18430</v>
      </c>
      <c r="AD169" s="74" t="str">
        <f>VLOOKUP(B169,'Salary -Dec-2024 (Full)'!$B$6:$AE$383,29,0)</f>
        <v>Bank</v>
      </c>
      <c r="AE169" s="618" t="str">
        <f>VLOOKUP(B169,'Salary -Dec-2024 (Full)'!$B$6:$AE$2853,30,0)</f>
        <v>103.103.1353839</v>
      </c>
      <c r="AH169" s="183"/>
      <c r="AI169" s="320"/>
    </row>
    <row r="170" spans="1:35" s="61" customFormat="1" ht="24" customHeight="1">
      <c r="A170" s="62">
        <v>4</v>
      </c>
      <c r="B170" s="63" t="s">
        <v>1143</v>
      </c>
      <c r="C170" s="255" t="str">
        <f>VLOOKUP(B170,'Salary -Dec-2024 (Full)'!$B$6:$D$383,2,0)</f>
        <v>Md Shabuz Mia</v>
      </c>
      <c r="D170" s="278" t="str">
        <f>VLOOKUP(B170,'Salary -Dec-2024 (Full)'!$B$6:$D$383,3,0)</f>
        <v>Driver</v>
      </c>
      <c r="E170" s="256" t="str">
        <f>VLOOKUP(B170,'Salary -Dec-2024 (Full)'!$B$6:$AE$383,4,0)</f>
        <v>Transport</v>
      </c>
      <c r="F170" s="265">
        <f>VLOOKUP(B170,'Salary -Dec-2024 (Full)'!$B$6:$AE$383,5,0)</f>
        <v>43452</v>
      </c>
      <c r="G170" s="257">
        <f>VLOOKUP(B170,'Salary -Dec-2024 (Full)'!$B$6:$AE$383,6,0)</f>
        <v>31</v>
      </c>
      <c r="H170" s="258">
        <f>VLOOKUP(B170,'Salary -Dec-2024 (Full)'!$B$6:$AE$383,7,0)</f>
        <v>0</v>
      </c>
      <c r="I170" s="257">
        <f t="shared" si="488"/>
        <v>31</v>
      </c>
      <c r="J170" s="258">
        <f t="shared" si="489"/>
        <v>709.67741935483866</v>
      </c>
      <c r="K170" s="72">
        <f>VLOOKUP(B170,'Salary -Dec-2024 (Full)'!$B$6:$AE$383,10,0)</f>
        <v>22000</v>
      </c>
      <c r="L170" s="72">
        <f t="shared" si="490"/>
        <v>13200</v>
      </c>
      <c r="M170" s="72">
        <f t="shared" si="491"/>
        <v>6600</v>
      </c>
      <c r="N170" s="72">
        <f t="shared" si="492"/>
        <v>1320</v>
      </c>
      <c r="O170" s="72">
        <f t="shared" si="493"/>
        <v>880</v>
      </c>
      <c r="P170" s="259"/>
      <c r="Q170" s="260">
        <f t="shared" si="494"/>
        <v>22000</v>
      </c>
      <c r="R170" s="188">
        <f>VLOOKUP(B170,'Salary -Dec-2024 (Full)'!$B$6:$AE$383,17,0)</f>
        <v>22000</v>
      </c>
      <c r="S170" s="192">
        <f>VLOOKUP(B170,'Salary -Dec-2024 (Full)'!$B$6:$AE$383,18,0)</f>
        <v>0</v>
      </c>
      <c r="T170" s="192">
        <f>VLOOKUP(B170,'Salary -Dec-2024 (Full)'!$B$6:$AE$383,19,0)</f>
        <v>0</v>
      </c>
      <c r="U170" s="337">
        <f>VLOOKUP(B170,'Salary -Dec-2024 (Full)'!$B$6:$AE$383,20,0)</f>
        <v>0</v>
      </c>
      <c r="V170" s="263">
        <f t="shared" si="495"/>
        <v>22000</v>
      </c>
      <c r="W170" s="192">
        <f>VLOOKUP(B170,'Salary -Dec-2024 (Full)'!$B$6:$AE$383,22,0)</f>
        <v>0</v>
      </c>
      <c r="X170" s="192">
        <f>VLOOKUP(B170,'Salary -Dec-2024 (Full)'!$B$6:$AE$383,23,0)</f>
        <v>0</v>
      </c>
      <c r="Y170" s="337">
        <f>VLOOKUP(B170,'Salary -Dec-2024 (Full)'!$B$6:$AE$383,24,0)</f>
        <v>660</v>
      </c>
      <c r="Z170" s="192">
        <f>VLOOKUP(B170,'Salary -Dec-2024 (Full)'!$B$6:$AE$383,25,0)</f>
        <v>0</v>
      </c>
      <c r="AA170" s="192">
        <f>VLOOKUP(B170,'Salary -Dec-2024 (Full)'!$B$6:$AE$383,26,0)</f>
        <v>0</v>
      </c>
      <c r="AB170" s="73">
        <f t="shared" si="486"/>
        <v>660</v>
      </c>
      <c r="AC170" s="73">
        <f t="shared" si="487"/>
        <v>21340</v>
      </c>
      <c r="AD170" s="74" t="str">
        <f>VLOOKUP(B170,'Salary -Dec-2024 (Full)'!$B$6:$AE$383,29,0)</f>
        <v>Bank</v>
      </c>
      <c r="AE170" s="618" t="str">
        <f>VLOOKUP(B170,'Salary -Dec-2024 (Full)'!$B$6:$AE$2853,30,0)</f>
        <v>147.103.0490676</v>
      </c>
      <c r="AH170" s="183"/>
      <c r="AI170" s="320"/>
    </row>
    <row r="171" spans="1:35" s="61" customFormat="1" ht="15.75" customHeight="1">
      <c r="A171" s="1031" t="s">
        <v>67</v>
      </c>
      <c r="B171" s="1032"/>
      <c r="C171" s="1033"/>
      <c r="D171" s="1034"/>
      <c r="E171" s="1040"/>
      <c r="F171" s="1040"/>
      <c r="G171" s="1040"/>
      <c r="H171" s="1040"/>
      <c r="I171" s="1040"/>
      <c r="J171" s="1040"/>
      <c r="K171" s="1037">
        <f>SUM(K167:K170)</f>
        <v>79000</v>
      </c>
      <c r="L171" s="1037">
        <f t="shared" ref="L171:AC171" si="496">SUM(L167:L170)</f>
        <v>47400</v>
      </c>
      <c r="M171" s="1037">
        <f t="shared" si="496"/>
        <v>23700</v>
      </c>
      <c r="N171" s="1037">
        <f t="shared" si="496"/>
        <v>4740</v>
      </c>
      <c r="O171" s="1037">
        <f t="shared" si="496"/>
        <v>3160</v>
      </c>
      <c r="P171" s="1037">
        <f t="shared" si="496"/>
        <v>0</v>
      </c>
      <c r="Q171" s="1037">
        <f t="shared" si="496"/>
        <v>79000</v>
      </c>
      <c r="R171" s="1037">
        <f t="shared" si="496"/>
        <v>79000</v>
      </c>
      <c r="S171" s="1037">
        <f t="shared" si="496"/>
        <v>0</v>
      </c>
      <c r="T171" s="1037">
        <f t="shared" si="496"/>
        <v>0</v>
      </c>
      <c r="U171" s="1037">
        <f t="shared" si="496"/>
        <v>0</v>
      </c>
      <c r="V171" s="1037">
        <f t="shared" si="496"/>
        <v>79000</v>
      </c>
      <c r="W171" s="1037">
        <f t="shared" si="496"/>
        <v>0</v>
      </c>
      <c r="X171" s="1037">
        <f t="shared" si="496"/>
        <v>0</v>
      </c>
      <c r="Y171" s="1037">
        <f t="shared" si="496"/>
        <v>1230</v>
      </c>
      <c r="Z171" s="1037">
        <f t="shared" si="496"/>
        <v>0</v>
      </c>
      <c r="AA171" s="1037">
        <f t="shared" si="496"/>
        <v>0</v>
      </c>
      <c r="AB171" s="1037">
        <f t="shared" si="496"/>
        <v>1230</v>
      </c>
      <c r="AC171" s="1037">
        <f t="shared" si="496"/>
        <v>77770</v>
      </c>
      <c r="AD171" s="1037"/>
      <c r="AE171" s="1042"/>
      <c r="AH171" s="183"/>
      <c r="AI171" s="320"/>
    </row>
    <row r="172" spans="1:35" s="47" customFormat="1" ht="19.5" customHeight="1">
      <c r="A172" s="116" t="s">
        <v>1243</v>
      </c>
      <c r="B172" s="117"/>
      <c r="C172" s="117"/>
      <c r="D172" s="283"/>
      <c r="E172" s="117"/>
      <c r="F172" s="117"/>
      <c r="G172" s="117"/>
      <c r="H172" s="247"/>
      <c r="I172" s="117"/>
      <c r="J172" s="117"/>
      <c r="K172" s="117"/>
      <c r="L172" s="117"/>
      <c r="M172" s="117"/>
      <c r="N172" s="117"/>
      <c r="O172" s="117"/>
      <c r="P172" s="117"/>
      <c r="Q172" s="117"/>
      <c r="R172" s="117"/>
      <c r="S172" s="117"/>
      <c r="T172" s="117"/>
      <c r="U172" s="117"/>
      <c r="V172" s="117"/>
      <c r="W172" s="117"/>
      <c r="X172" s="117"/>
      <c r="Y172" s="117"/>
      <c r="Z172" s="117"/>
      <c r="AA172" s="117"/>
      <c r="AB172" s="117"/>
      <c r="AC172" s="117"/>
      <c r="AD172" s="117"/>
      <c r="AE172" s="620"/>
      <c r="AF172" s="61"/>
      <c r="AG172" s="61"/>
      <c r="AH172" s="183"/>
      <c r="AI172" s="320"/>
    </row>
    <row r="173" spans="1:35" s="47" customFormat="1" ht="24" customHeight="1">
      <c r="A173" s="62">
        <v>1</v>
      </c>
      <c r="B173" s="254" t="s">
        <v>891</v>
      </c>
      <c r="C173" s="255" t="str">
        <f>VLOOKUP(B173,'Salary -Dec-2024 (Full)'!$B$6:$D$383,2,0)</f>
        <v>Md Adib Daiyan</v>
      </c>
      <c r="D173" s="278" t="str">
        <f>VLOOKUP(B173,'Salary -Dec-2024 (Full)'!$B$6:$D$383,3,0)</f>
        <v>Sr. Executive</v>
      </c>
      <c r="E173" s="256" t="str">
        <f>VLOOKUP(B173,'Salary -Dec-2024 (Full)'!$B$6:$AE$383,4,0)</f>
        <v>Monitoring &amp; Branding</v>
      </c>
      <c r="F173" s="265">
        <f>VLOOKUP(B173,'Salary -Dec-2024 (Full)'!$B$6:$AE$383,5,0)</f>
        <v>45171</v>
      </c>
      <c r="G173" s="257">
        <f>VLOOKUP(B173,'Salary -Dec-2024 (Full)'!$B$6:$AE$383,6,0)</f>
        <v>31</v>
      </c>
      <c r="H173" s="258">
        <f>VLOOKUP(B173,'Salary -Dec-2024 (Full)'!$B$6:$AE$383,7,0)</f>
        <v>1</v>
      </c>
      <c r="I173" s="66">
        <f t="shared" ref="I173:I177" si="497">G173-H173</f>
        <v>30</v>
      </c>
      <c r="J173" s="67">
        <f t="shared" ref="J173:J177" si="498">Q173/G173</f>
        <v>1290.3225806451612</v>
      </c>
      <c r="K173" s="68">
        <f>VLOOKUP(B173,'Salary -Dec-2024 (Full)'!$B$6:$AE$383,10,0)</f>
        <v>40000</v>
      </c>
      <c r="L173" s="68">
        <f t="shared" ref="L173:L177" si="499">K173*60%</f>
        <v>24000</v>
      </c>
      <c r="M173" s="68">
        <f t="shared" ref="M173:M177" si="500">K173*30%</f>
        <v>12000</v>
      </c>
      <c r="N173" s="68">
        <f t="shared" ref="N173:N177" si="501">K173*6%</f>
        <v>2400</v>
      </c>
      <c r="O173" s="68">
        <f t="shared" ref="O173:O177" si="502">K173*4%</f>
        <v>1600</v>
      </c>
      <c r="P173" s="259"/>
      <c r="Q173" s="260">
        <f t="shared" ref="Q173:Q177" si="503">SUM(L173:P173)</f>
        <v>40000</v>
      </c>
      <c r="R173" s="188">
        <f>VLOOKUP(B173,'Salary -Dec-2024 (Full)'!$B$6:$AE$383,17,0)</f>
        <v>38710</v>
      </c>
      <c r="S173" s="192">
        <f>VLOOKUP(B173,'Salary -Dec-2024 (Full)'!$B$6:$AE$383,18,0)</f>
        <v>0</v>
      </c>
      <c r="T173" s="192">
        <f>VLOOKUP(B173,'Salary -Dec-2024 (Full)'!$B$6:$AE$383,19,0)</f>
        <v>0</v>
      </c>
      <c r="U173" s="337">
        <f>VLOOKUP(B173,'Salary -Dec-2024 (Full)'!$B$6:$AE$383,20,0)</f>
        <v>0</v>
      </c>
      <c r="V173" s="263">
        <f t="shared" ref="V173:V177" si="504">SUM(R173:U173)</f>
        <v>38710</v>
      </c>
      <c r="W173" s="192">
        <f>VLOOKUP(B173,'Salary -Dec-2024 (Full)'!$B$6:$AE$383,22,0)</f>
        <v>455</v>
      </c>
      <c r="X173" s="192">
        <f>VLOOKUP(B173,'Salary -Dec-2024 (Full)'!$B$6:$AE$383,23,0)</f>
        <v>0</v>
      </c>
      <c r="Y173" s="337">
        <f>VLOOKUP(B173,'Salary -Dec-2024 (Full)'!$B$6:$AE$383,24,0)</f>
        <v>1200</v>
      </c>
      <c r="Z173" s="192">
        <f>VLOOKUP(B173,'Salary -Dec-2024 (Full)'!$B$6:$AE$383,25,0)</f>
        <v>0</v>
      </c>
      <c r="AA173" s="192">
        <f>VLOOKUP(B173,'Salary -Dec-2024 (Full)'!$B$6:$AE$383,26,0)</f>
        <v>0</v>
      </c>
      <c r="AB173" s="73">
        <f t="shared" ref="AB173:AB177" si="505">SUM(W173:AA173)</f>
        <v>1655</v>
      </c>
      <c r="AC173" s="73">
        <f t="shared" ref="AC173:AC177" si="506">ROUND(V173-AB173,0)</f>
        <v>37055</v>
      </c>
      <c r="AD173" s="74" t="str">
        <f>VLOOKUP(B173,'Salary -Dec-2024 (Full)'!$B$6:$AE$383,29,0)</f>
        <v>Bank</v>
      </c>
      <c r="AE173" s="618" t="str">
        <f>VLOOKUP(B173,'Salary -Dec-2024 (Full)'!$B$6:$AE$2853,30,0)</f>
        <v>103.103.1371963</v>
      </c>
      <c r="AF173" s="61"/>
      <c r="AG173" s="61"/>
      <c r="AH173" s="183"/>
      <c r="AI173" s="320"/>
    </row>
    <row r="174" spans="1:35" s="47" customFormat="1" ht="24" customHeight="1">
      <c r="A174" s="62">
        <v>2</v>
      </c>
      <c r="B174" s="254" t="s">
        <v>888</v>
      </c>
      <c r="C174" s="255" t="str">
        <f>VLOOKUP(B174,'Salary -Dec-2024 (Full)'!$B$6:$D$383,2,0)</f>
        <v>Tahmid Hasan Rakib</v>
      </c>
      <c r="D174" s="278" t="str">
        <f>VLOOKUP(B174,'Salary -Dec-2024 (Full)'!$B$6:$D$383,3,0)</f>
        <v>Jr. Executive</v>
      </c>
      <c r="E174" s="256" t="str">
        <f>VLOOKUP(B174,'Salary -Dec-2024 (Full)'!$B$6:$AE$383,4,0)</f>
        <v>S&amp;M</v>
      </c>
      <c r="F174" s="265">
        <f>VLOOKUP(B174,'Salary -Dec-2024 (Full)'!$B$6:$AE$383,5,0)</f>
        <v>45171</v>
      </c>
      <c r="G174" s="257">
        <f>VLOOKUP(B174,'Salary -Dec-2024 (Full)'!$B$6:$AE$383,6,0)</f>
        <v>31</v>
      </c>
      <c r="H174" s="258">
        <f>VLOOKUP(B174,'Salary -Dec-2024 (Full)'!$B$6:$AE$383,7,0)</f>
        <v>0</v>
      </c>
      <c r="I174" s="66">
        <f t="shared" ref="I174" si="507">G174-H174</f>
        <v>31</v>
      </c>
      <c r="J174" s="67">
        <f t="shared" ref="J174" si="508">Q174/G174</f>
        <v>967.74193548387098</v>
      </c>
      <c r="K174" s="68">
        <f>VLOOKUP(B174,'Salary -Dec-2024 (Full)'!$B$6:$AE$383,10,0)</f>
        <v>30000</v>
      </c>
      <c r="L174" s="68">
        <f t="shared" ref="L174" si="509">K174*60%</f>
        <v>18000</v>
      </c>
      <c r="M174" s="68">
        <f t="shared" ref="M174" si="510">K174*30%</f>
        <v>9000</v>
      </c>
      <c r="N174" s="68">
        <f t="shared" ref="N174" si="511">K174*6%</f>
        <v>1800</v>
      </c>
      <c r="O174" s="68">
        <f t="shared" ref="O174" si="512">K174*4%</f>
        <v>1200</v>
      </c>
      <c r="P174" s="259"/>
      <c r="Q174" s="260">
        <f t="shared" ref="Q174" si="513">SUM(L174:P174)</f>
        <v>30000</v>
      </c>
      <c r="R174" s="188">
        <f>VLOOKUP(B174,'Salary -Dec-2024 (Full)'!$B$6:$AE$383,17,0)</f>
        <v>30000</v>
      </c>
      <c r="S174" s="192">
        <f>VLOOKUP(B174,'Salary -Dec-2024 (Full)'!$B$6:$AE$383,18,0)</f>
        <v>0</v>
      </c>
      <c r="T174" s="192">
        <f>VLOOKUP(B174,'Salary -Dec-2024 (Full)'!$B$6:$AE$383,19,0)</f>
        <v>0</v>
      </c>
      <c r="U174" s="337">
        <f>VLOOKUP(B174,'Salary -Dec-2024 (Full)'!$B$6:$AE$383,20,0)</f>
        <v>0</v>
      </c>
      <c r="V174" s="263">
        <f t="shared" ref="V174" si="514">SUM(R174:U174)</f>
        <v>30000</v>
      </c>
      <c r="W174" s="192">
        <f>VLOOKUP(B174,'Salary -Dec-2024 (Full)'!$B$6:$AE$383,22,0)</f>
        <v>0</v>
      </c>
      <c r="X174" s="192">
        <f>VLOOKUP(B174,'Salary -Dec-2024 (Full)'!$B$6:$AE$383,23,0)</f>
        <v>1650</v>
      </c>
      <c r="Y174" s="337">
        <f>VLOOKUP(B174,'Salary -Dec-2024 (Full)'!$B$6:$AE$383,24,0)</f>
        <v>900</v>
      </c>
      <c r="Z174" s="192">
        <f>VLOOKUP(B174,'Salary -Dec-2024 (Full)'!$B$6:$AE$383,25,0)</f>
        <v>0</v>
      </c>
      <c r="AA174" s="192">
        <f>VLOOKUP(B174,'Salary -Dec-2024 (Full)'!$B$6:$AE$383,26,0)</f>
        <v>0</v>
      </c>
      <c r="AB174" s="73">
        <f t="shared" ref="AB174" si="515">SUM(W174:AA174)</f>
        <v>2550</v>
      </c>
      <c r="AC174" s="73">
        <f t="shared" ref="AC174" si="516">ROUND(V174-AB174,0)</f>
        <v>27450</v>
      </c>
      <c r="AD174" s="74" t="str">
        <f>VLOOKUP(B174,'Salary -Dec-2024 (Full)'!$B$6:$AE$383,29,0)</f>
        <v>Bank</v>
      </c>
      <c r="AE174" s="618" t="str">
        <f>VLOOKUP(B174,'Salary -Dec-2024 (Full)'!$B$6:$AE$2853,30,0)</f>
        <v>194.158.0038531</v>
      </c>
      <c r="AF174" s="61"/>
      <c r="AG174" s="61"/>
      <c r="AH174" s="183"/>
      <c r="AI174" s="320"/>
    </row>
    <row r="175" spans="1:35" s="47" customFormat="1" ht="24" customHeight="1">
      <c r="A175" s="62">
        <v>3</v>
      </c>
      <c r="B175" s="254" t="s">
        <v>1219</v>
      </c>
      <c r="C175" s="255" t="str">
        <f>VLOOKUP(B175,'Salary -Dec-2024 (Full)'!$B$6:$D$383,2,0)</f>
        <v>M. Abdus Salam Sardar</v>
      </c>
      <c r="D175" s="278" t="str">
        <f>VLOOKUP(B175,'Salary -Dec-2024 (Full)'!$B$6:$D$383,3,0)</f>
        <v>Sr. Executive</v>
      </c>
      <c r="E175" s="256" t="str">
        <f>VLOOKUP(B175,'Salary -Dec-2024 (Full)'!$B$6:$AE$383,4,0)</f>
        <v>Audit &amp; Monitoring</v>
      </c>
      <c r="F175" s="265">
        <f>VLOOKUP(B175,'Salary -Dec-2024 (Full)'!$B$6:$AE$383,5,0)</f>
        <v>45361</v>
      </c>
      <c r="G175" s="257">
        <f>VLOOKUP(B175,'Salary -Dec-2024 (Full)'!$B$6:$AE$383,6,0)</f>
        <v>31</v>
      </c>
      <c r="H175" s="258">
        <f>VLOOKUP(B175,'Salary -Dec-2024 (Full)'!$B$6:$AE$383,7,0)</f>
        <v>0</v>
      </c>
      <c r="I175" s="66">
        <f t="shared" si="497"/>
        <v>31</v>
      </c>
      <c r="J175" s="67">
        <f t="shared" si="498"/>
        <v>1290.3225806451612</v>
      </c>
      <c r="K175" s="68">
        <f>VLOOKUP(B175,'Salary -Dec-2024 (Full)'!$B$6:$AE$383,10,0)</f>
        <v>40000</v>
      </c>
      <c r="L175" s="68">
        <f t="shared" si="499"/>
        <v>24000</v>
      </c>
      <c r="M175" s="68">
        <f t="shared" si="500"/>
        <v>12000</v>
      </c>
      <c r="N175" s="68">
        <f t="shared" si="501"/>
        <v>2400</v>
      </c>
      <c r="O175" s="68">
        <f t="shared" si="502"/>
        <v>1600</v>
      </c>
      <c r="P175" s="259"/>
      <c r="Q175" s="260">
        <f t="shared" si="503"/>
        <v>40000</v>
      </c>
      <c r="R175" s="188">
        <f>VLOOKUP(B175,'Salary -Dec-2024 (Full)'!$B$6:$AE$383,17,0)</f>
        <v>40000</v>
      </c>
      <c r="S175" s="192">
        <f>VLOOKUP(B175,'Salary -Dec-2024 (Full)'!$B$6:$AE$383,18,0)</f>
        <v>0</v>
      </c>
      <c r="T175" s="192">
        <f>VLOOKUP(B175,'Salary -Dec-2024 (Full)'!$B$6:$AE$383,19,0)</f>
        <v>0</v>
      </c>
      <c r="U175" s="337">
        <f>VLOOKUP(B175,'Salary -Dec-2024 (Full)'!$B$6:$AE$383,20,0)</f>
        <v>0</v>
      </c>
      <c r="V175" s="263">
        <f t="shared" si="504"/>
        <v>40000</v>
      </c>
      <c r="W175" s="192">
        <f>VLOOKUP(B175,'Salary -Dec-2024 (Full)'!$B$6:$AE$383,22,0)</f>
        <v>417</v>
      </c>
      <c r="X175" s="192">
        <f>VLOOKUP(B175,'Salary -Dec-2024 (Full)'!$B$6:$AE$383,23,0)</f>
        <v>0</v>
      </c>
      <c r="Y175" s="337">
        <f>VLOOKUP(B175,'Salary -Dec-2024 (Full)'!$B$6:$AE$383,24,0)</f>
        <v>0</v>
      </c>
      <c r="Z175" s="192">
        <f>VLOOKUP(B175,'Salary -Dec-2024 (Full)'!$B$6:$AE$383,25,0)</f>
        <v>0</v>
      </c>
      <c r="AA175" s="192">
        <f>VLOOKUP(B175,'Salary -Dec-2024 (Full)'!$B$6:$AE$383,26,0)</f>
        <v>0</v>
      </c>
      <c r="AB175" s="73">
        <f t="shared" si="505"/>
        <v>417</v>
      </c>
      <c r="AC175" s="73">
        <f t="shared" si="506"/>
        <v>39583</v>
      </c>
      <c r="AD175" s="74" t="str">
        <f>VLOOKUP(B175,'Salary -Dec-2024 (Full)'!$B$6:$AE$383,29,0)</f>
        <v>Bank</v>
      </c>
      <c r="AE175" s="618" t="str">
        <f>VLOOKUP(B175,'Salary -Dec-2024 (Full)'!$B$6:$AE$2853,30,0)</f>
        <v>103.103.1395988</v>
      </c>
      <c r="AF175" s="61"/>
      <c r="AG175" s="61"/>
      <c r="AH175" s="183"/>
      <c r="AI175" s="320"/>
    </row>
    <row r="176" spans="1:35" s="47" customFormat="1" ht="24" customHeight="1">
      <c r="A176" s="62">
        <v>4</v>
      </c>
      <c r="B176" s="254" t="s">
        <v>1285</v>
      </c>
      <c r="C176" s="255" t="str">
        <f>VLOOKUP(B176,'Salary -Dec-2024 (Full)'!$B$6:$D$383,2,0)</f>
        <v>Abdur Rahman</v>
      </c>
      <c r="D176" s="278" t="str">
        <f>VLOOKUP(B176,'Salary -Dec-2024 (Full)'!$B$6:$D$383,3,0)</f>
        <v>Sr. Executive</v>
      </c>
      <c r="E176" s="256" t="str">
        <f>VLOOKUP(B176,'Salary -Dec-2024 (Full)'!$B$6:$AE$383,4,0)</f>
        <v>Auditor &amp; Monitoring</v>
      </c>
      <c r="F176" s="265">
        <f>VLOOKUP(B176,'Salary -Dec-2024 (Full)'!$B$6:$AE$383,5,0)</f>
        <v>45397</v>
      </c>
      <c r="G176" s="257">
        <f>VLOOKUP(B176,'Salary -Dec-2024 (Full)'!$B$6:$AE$286,6,0)</f>
        <v>31</v>
      </c>
      <c r="H176" s="258">
        <f>VLOOKUP(B176,'Salary -Dec-2024 (Full)'!$B$6:$AE$383,7,0)</f>
        <v>0</v>
      </c>
      <c r="I176" s="66">
        <f t="shared" si="497"/>
        <v>31</v>
      </c>
      <c r="J176" s="67">
        <f t="shared" si="498"/>
        <v>1129.0322580645161</v>
      </c>
      <c r="K176" s="68">
        <f>VLOOKUP(B176,'Salary -Dec-2024 (Full)'!$B$6:$AE$383,10,0)</f>
        <v>35000</v>
      </c>
      <c r="L176" s="68">
        <f t="shared" si="499"/>
        <v>21000</v>
      </c>
      <c r="M176" s="68">
        <f t="shared" si="500"/>
        <v>10500</v>
      </c>
      <c r="N176" s="68">
        <f t="shared" si="501"/>
        <v>2100</v>
      </c>
      <c r="O176" s="68">
        <f t="shared" si="502"/>
        <v>1400</v>
      </c>
      <c r="P176" s="259"/>
      <c r="Q176" s="260">
        <f t="shared" si="503"/>
        <v>35000</v>
      </c>
      <c r="R176" s="188">
        <f>VLOOKUP(B176,'Salary -Dec-2024 (Full)'!$B$6:$AE$383,17,0)</f>
        <v>35000</v>
      </c>
      <c r="S176" s="192">
        <f>VLOOKUP(B176,'Salary -Dec-2024 (Full)'!$B$6:$AE$383,18,0)</f>
        <v>0</v>
      </c>
      <c r="T176" s="192">
        <f>VLOOKUP(B176,'Salary -Dec-2024 (Full)'!$B$6:$AE$383,19,0)</f>
        <v>0</v>
      </c>
      <c r="U176" s="337">
        <f>VLOOKUP(B176,'Salary -Dec-2024 (Full)'!$B$6:$AE$383,20,0)</f>
        <v>0</v>
      </c>
      <c r="V176" s="263">
        <f t="shared" si="504"/>
        <v>35000</v>
      </c>
      <c r="W176" s="192">
        <f>VLOOKUP(B176,'Salary -Dec-2024 (Full)'!$B$6:$AE$383,22,0)</f>
        <v>0</v>
      </c>
      <c r="X176" s="192">
        <f>VLOOKUP(B176,'Salary -Dec-2024 (Full)'!$B$6:$AE$383,23,0)</f>
        <v>0</v>
      </c>
      <c r="Y176" s="337">
        <f>VLOOKUP(B176,'Salary -Dec-2024 (Full)'!$B$6:$AE$383,24,0)</f>
        <v>0</v>
      </c>
      <c r="Z176" s="192">
        <f>VLOOKUP(B176,'Salary -Dec-2024 (Full)'!$B$6:$AE$383,25,0)</f>
        <v>0</v>
      </c>
      <c r="AA176" s="192">
        <f>VLOOKUP(B176,'Salary -Dec-2024 (Full)'!$B$6:$AE$383,26,0)</f>
        <v>0</v>
      </c>
      <c r="AB176" s="73">
        <f t="shared" si="505"/>
        <v>0</v>
      </c>
      <c r="AC176" s="73">
        <f t="shared" si="506"/>
        <v>35000</v>
      </c>
      <c r="AD176" s="74" t="str">
        <f>VLOOKUP(B176,'Salary -Dec-2024 (Full)'!$B$6:$AE$383,29,0)</f>
        <v>Bank</v>
      </c>
      <c r="AE176" s="618" t="str">
        <f>VLOOKUP(B176,'Salary -Dec-2024 (Full)'!$B$6:$AE$2853,30,0)</f>
        <v>193.151.0113724</v>
      </c>
      <c r="AF176" s="61"/>
      <c r="AG176" s="61"/>
      <c r="AH176" s="183"/>
      <c r="AI176" s="320"/>
    </row>
    <row r="177" spans="1:35" s="47" customFormat="1" ht="24" customHeight="1">
      <c r="A177" s="62">
        <v>7</v>
      </c>
      <c r="B177" s="254" t="s">
        <v>1608</v>
      </c>
      <c r="C177" s="255" t="str">
        <f>VLOOKUP(B177,'Salary -Dec-2024 (Full)'!$B$6:$D$383,2,0)</f>
        <v>Nipa Monalisha</v>
      </c>
      <c r="D177" s="278" t="str">
        <f>VLOOKUP(B177,'Salary -Dec-2024 (Full)'!$B$6:$D$383,3,0)</f>
        <v>Jr. Executive</v>
      </c>
      <c r="E177" s="256" t="str">
        <f>VLOOKUP(B177,'Salary -Dec-2024 (Full)'!$B$6:$AE$383,4,0)</f>
        <v>Auditor &amp; Monitoring</v>
      </c>
      <c r="F177" s="265">
        <f>VLOOKUP(B177,'Salary -Dec-2024 (Full)'!$B$6:$AE$383,5,0)</f>
        <v>45505</v>
      </c>
      <c r="G177" s="257">
        <f>VLOOKUP(B177,'Salary -Dec-2024 (Full)'!$B$6:$AE$286,6,0)</f>
        <v>31</v>
      </c>
      <c r="H177" s="258">
        <f>VLOOKUP(B177,'Salary -Dec-2024 (Full)'!$B$6:$AE$383,7,0)</f>
        <v>0</v>
      </c>
      <c r="I177" s="66">
        <f t="shared" si="497"/>
        <v>31</v>
      </c>
      <c r="J177" s="67">
        <f t="shared" si="498"/>
        <v>645.16129032258061</v>
      </c>
      <c r="K177" s="68">
        <f>VLOOKUP(B177,'Salary -Dec-2024 (Full)'!$B$6:$AE$383,10,0)</f>
        <v>20000</v>
      </c>
      <c r="L177" s="68">
        <f t="shared" si="499"/>
        <v>12000</v>
      </c>
      <c r="M177" s="68">
        <f t="shared" si="500"/>
        <v>6000</v>
      </c>
      <c r="N177" s="68">
        <f t="shared" si="501"/>
        <v>1200</v>
      </c>
      <c r="O177" s="68">
        <f t="shared" si="502"/>
        <v>800</v>
      </c>
      <c r="P177" s="259"/>
      <c r="Q177" s="260">
        <f t="shared" si="503"/>
        <v>20000</v>
      </c>
      <c r="R177" s="188">
        <f>VLOOKUP(B177,'Salary -Dec-2024 (Full)'!$B$6:$AE$383,17,0)</f>
        <v>20000</v>
      </c>
      <c r="S177" s="192">
        <f>VLOOKUP(B177,'Salary -Dec-2024 (Full)'!$B$6:$AE$383,18,0)</f>
        <v>0</v>
      </c>
      <c r="T177" s="192">
        <f>VLOOKUP(B177,'Salary -Dec-2024 (Full)'!$B$6:$AE$383,19,0)</f>
        <v>0</v>
      </c>
      <c r="U177" s="337">
        <f>VLOOKUP(B177,'Salary -Dec-2024 (Full)'!$B$6:$AE$383,20,0)</f>
        <v>0</v>
      </c>
      <c r="V177" s="263">
        <f t="shared" si="504"/>
        <v>20000</v>
      </c>
      <c r="W177" s="192">
        <f>VLOOKUP(B177,'Salary -Dec-2024 (Full)'!$B$6:$AE$383,22,0)</f>
        <v>0</v>
      </c>
      <c r="X177" s="192">
        <f>VLOOKUP(B177,'Salary -Dec-2024 (Full)'!$B$6:$AE$383,23,0)</f>
        <v>0</v>
      </c>
      <c r="Y177" s="337">
        <f>VLOOKUP(B177,'Salary -Dec-2024 (Full)'!$B$6:$AE$383,24,0)</f>
        <v>0</v>
      </c>
      <c r="Z177" s="192">
        <f>VLOOKUP(B177,'Salary -Dec-2024 (Full)'!$B$6:$AE$383,25,0)</f>
        <v>0</v>
      </c>
      <c r="AA177" s="192">
        <f>VLOOKUP(B177,'Salary -Dec-2024 (Full)'!$B$6:$AE$383,26,0)</f>
        <v>0</v>
      </c>
      <c r="AB177" s="73">
        <f t="shared" si="505"/>
        <v>0</v>
      </c>
      <c r="AC177" s="73">
        <f t="shared" si="506"/>
        <v>20000</v>
      </c>
      <c r="AD177" s="74" t="str">
        <f>VLOOKUP(B177,'Salary -Dec-2024 (Full)'!$B$6:$AE$383,29,0)</f>
        <v>Bank</v>
      </c>
      <c r="AE177" s="618" t="str">
        <f>VLOOKUP(B177,'Salary -Dec-2024 (Full)'!$B$6:$AE$2853,30,0)</f>
        <v>103.103.1408011</v>
      </c>
      <c r="AF177" s="61"/>
      <c r="AG177" s="61"/>
      <c r="AH177" s="183"/>
      <c r="AI177" s="320"/>
    </row>
    <row r="178" spans="1:35" s="61" customFormat="1" ht="16.5" customHeight="1">
      <c r="A178" s="1031" t="s">
        <v>67</v>
      </c>
      <c r="B178" s="1032"/>
      <c r="C178" s="1033"/>
      <c r="D178" s="1034"/>
      <c r="E178" s="1040"/>
      <c r="F178" s="1040"/>
      <c r="G178" s="1040"/>
      <c r="H178" s="1040"/>
      <c r="I178" s="1040"/>
      <c r="J178" s="1040"/>
      <c r="K178" s="1037">
        <f>SUM(K173:K177)</f>
        <v>165000</v>
      </c>
      <c r="L178" s="1037">
        <f t="shared" ref="L178:AC178" si="517">SUM(L173:L177)</f>
        <v>99000</v>
      </c>
      <c r="M178" s="1037">
        <f t="shared" si="517"/>
        <v>49500</v>
      </c>
      <c r="N178" s="1037">
        <f t="shared" si="517"/>
        <v>9900</v>
      </c>
      <c r="O178" s="1037">
        <f t="shared" si="517"/>
        <v>6600</v>
      </c>
      <c r="P178" s="1037">
        <f t="shared" si="517"/>
        <v>0</v>
      </c>
      <c r="Q178" s="1037">
        <f t="shared" si="517"/>
        <v>165000</v>
      </c>
      <c r="R178" s="1037">
        <f t="shared" si="517"/>
        <v>163710</v>
      </c>
      <c r="S178" s="1037">
        <f t="shared" si="517"/>
        <v>0</v>
      </c>
      <c r="T178" s="1037">
        <f t="shared" si="517"/>
        <v>0</v>
      </c>
      <c r="U178" s="1037">
        <f t="shared" si="517"/>
        <v>0</v>
      </c>
      <c r="V178" s="1037">
        <f t="shared" si="517"/>
        <v>163710</v>
      </c>
      <c r="W178" s="1037">
        <f t="shared" si="517"/>
        <v>872</v>
      </c>
      <c r="X178" s="1037">
        <f t="shared" si="517"/>
        <v>1650</v>
      </c>
      <c r="Y178" s="1037">
        <f t="shared" si="517"/>
        <v>2100</v>
      </c>
      <c r="Z178" s="1037">
        <f t="shared" si="517"/>
        <v>0</v>
      </c>
      <c r="AA178" s="1037">
        <f t="shared" si="517"/>
        <v>0</v>
      </c>
      <c r="AB178" s="1037">
        <f t="shared" si="517"/>
        <v>4622</v>
      </c>
      <c r="AC178" s="1037">
        <f t="shared" si="517"/>
        <v>159088</v>
      </c>
      <c r="AD178" s="1037"/>
      <c r="AE178" s="1042"/>
      <c r="AH178" s="183"/>
      <c r="AI178" s="320"/>
    </row>
    <row r="179" spans="1:35" s="47" customFormat="1" ht="12" customHeight="1">
      <c r="A179" s="201"/>
      <c r="B179" s="202"/>
      <c r="C179" s="203"/>
      <c r="D179" s="204"/>
      <c r="E179" s="205"/>
      <c r="F179" s="478"/>
      <c r="G179" s="208"/>
      <c r="H179" s="207"/>
      <c r="I179" s="208"/>
      <c r="J179" s="207"/>
      <c r="K179" s="209"/>
      <c r="L179" s="209"/>
      <c r="M179" s="209"/>
      <c r="N179" s="209"/>
      <c r="O179" s="209"/>
      <c r="P179" s="210"/>
      <c r="Q179" s="138"/>
      <c r="R179" s="138"/>
      <c r="S179" s="211"/>
      <c r="T179" s="211"/>
      <c r="U179" s="212"/>
      <c r="V179" s="213"/>
      <c r="W179" s="209"/>
      <c r="X179" s="214"/>
      <c r="Y179" s="211"/>
      <c r="Z179" s="211"/>
      <c r="AA179" s="211"/>
      <c r="AB179" s="182"/>
      <c r="AC179" s="182"/>
      <c r="AD179" s="215"/>
      <c r="AE179" s="215"/>
      <c r="AG179" s="61"/>
      <c r="AH179" s="183"/>
      <c r="AI179" s="320"/>
    </row>
    <row r="180" spans="1:35" s="30" customFormat="1" ht="19.5" customHeight="1">
      <c r="A180" s="1093">
        <f>COUNT(A8:A178)</f>
        <v>154</v>
      </c>
      <c r="B180" s="1094"/>
      <c r="C180" s="1094"/>
      <c r="D180" s="1094"/>
      <c r="E180" s="1094"/>
      <c r="F180" s="1095"/>
      <c r="G180" s="1094"/>
      <c r="H180" s="1094"/>
      <c r="I180" s="1094"/>
      <c r="J180" s="1096"/>
      <c r="K180" s="1037">
        <f t="shared" ref="K180:AC180" si="518">K165+K98+K84+K105+K18+K11+K23+K171+K178</f>
        <v>4547700</v>
      </c>
      <c r="L180" s="1037">
        <f t="shared" si="518"/>
        <v>2728620</v>
      </c>
      <c r="M180" s="1037">
        <f t="shared" si="518"/>
        <v>1364310</v>
      </c>
      <c r="N180" s="1037">
        <f t="shared" si="518"/>
        <v>272862</v>
      </c>
      <c r="O180" s="1037">
        <f t="shared" si="518"/>
        <v>181908</v>
      </c>
      <c r="P180" s="1037">
        <f t="shared" si="518"/>
        <v>0</v>
      </c>
      <c r="Q180" s="1037">
        <f t="shared" si="518"/>
        <v>4547700</v>
      </c>
      <c r="R180" s="1037">
        <f t="shared" si="518"/>
        <v>4438147</v>
      </c>
      <c r="S180" s="1037">
        <f t="shared" si="518"/>
        <v>2000</v>
      </c>
      <c r="T180" s="1037">
        <f t="shared" si="518"/>
        <v>5000</v>
      </c>
      <c r="U180" s="1037">
        <f t="shared" si="518"/>
        <v>0</v>
      </c>
      <c r="V180" s="1037">
        <f t="shared" si="518"/>
        <v>4445147</v>
      </c>
      <c r="W180" s="1037">
        <f t="shared" si="518"/>
        <v>21943.571428571428</v>
      </c>
      <c r="X180" s="1037">
        <f t="shared" si="518"/>
        <v>5775</v>
      </c>
      <c r="Y180" s="1037">
        <f t="shared" si="518"/>
        <v>92919</v>
      </c>
      <c r="Z180" s="1037">
        <f t="shared" si="518"/>
        <v>98635</v>
      </c>
      <c r="AA180" s="1037">
        <f t="shared" si="518"/>
        <v>5000</v>
      </c>
      <c r="AB180" s="1037">
        <f t="shared" si="518"/>
        <v>224272.57142857142</v>
      </c>
      <c r="AC180" s="1037">
        <f t="shared" si="518"/>
        <v>4220874</v>
      </c>
      <c r="AD180" s="1038"/>
      <c r="AE180" s="1038"/>
      <c r="AG180" s="61"/>
      <c r="AH180" s="183"/>
      <c r="AI180" s="317"/>
    </row>
    <row r="181" spans="1:35" s="142" customFormat="1" ht="24" customHeight="1">
      <c r="A181" s="132"/>
      <c r="B181" s="133"/>
      <c r="C181" s="134"/>
      <c r="D181" s="135"/>
      <c r="E181" s="136"/>
      <c r="F181" s="479"/>
      <c r="G181" s="138"/>
      <c r="H181" s="138"/>
      <c r="I181" s="139"/>
      <c r="J181" s="139"/>
      <c r="K181" s="139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1"/>
      <c r="AE181" s="558"/>
      <c r="AI181" s="321"/>
    </row>
    <row r="182" spans="1:35" s="130" customFormat="1" ht="24" customHeight="1">
      <c r="A182" s="121"/>
      <c r="B182" s="121"/>
      <c r="C182" s="122"/>
      <c r="D182" s="143"/>
      <c r="E182" s="121"/>
      <c r="F182" s="480"/>
      <c r="G182" s="124"/>
      <c r="H182" s="124"/>
      <c r="I182" s="123"/>
      <c r="J182" s="124"/>
      <c r="K182" s="124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W182" s="14"/>
      <c r="X182" s="127" t="s">
        <v>29</v>
      </c>
      <c r="Y182" s="126"/>
      <c r="Z182" s="125"/>
      <c r="AA182" s="125"/>
      <c r="AB182" s="125"/>
      <c r="AC182" s="127" t="s">
        <v>23</v>
      </c>
      <c r="AD182" s="128" t="s">
        <v>24</v>
      </c>
      <c r="AE182" s="15">
        <f ca="1">SUMIF(AD$8:AD$182,AC182,AC$8:AC$181)</f>
        <v>4100703</v>
      </c>
      <c r="AI182" s="322"/>
    </row>
    <row r="183" spans="1:35" s="130" customFormat="1" ht="24" customHeight="1">
      <c r="A183" s="121"/>
      <c r="B183" s="121"/>
      <c r="C183" s="122"/>
      <c r="D183" s="143"/>
      <c r="E183" s="121"/>
      <c r="F183" s="480"/>
      <c r="G183" s="124"/>
      <c r="H183" s="124"/>
      <c r="I183" s="123"/>
      <c r="J183" s="124"/>
      <c r="K183" s="124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4"/>
      <c r="W183" s="14"/>
      <c r="X183" s="125"/>
      <c r="Y183" s="126"/>
      <c r="Z183" s="125"/>
      <c r="AA183" s="125"/>
      <c r="AB183" s="125"/>
      <c r="AC183" s="127" t="s">
        <v>25</v>
      </c>
      <c r="AD183" s="128" t="s">
        <v>24</v>
      </c>
      <c r="AE183" s="15">
        <f>SUMIF(AD$8:AD$181,AC183,AC$8:AC$181)</f>
        <v>120171</v>
      </c>
      <c r="AI183" s="322"/>
    </row>
    <row r="184" spans="1:35" s="130" customFormat="1" ht="24" customHeight="1" thickBot="1">
      <c r="A184" s="121"/>
      <c r="B184" s="121"/>
      <c r="C184" s="122"/>
      <c r="D184" s="143"/>
      <c r="E184" s="121"/>
      <c r="F184" s="480"/>
      <c r="G184" s="124"/>
      <c r="H184" s="124"/>
      <c r="I184" s="123"/>
      <c r="J184" s="124"/>
      <c r="K184" s="124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4"/>
      <c r="W184" s="14"/>
      <c r="X184" s="125"/>
      <c r="Y184" s="126"/>
      <c r="Z184" s="125"/>
      <c r="AA184" s="125"/>
      <c r="AB184" s="125"/>
      <c r="AC184" s="127"/>
      <c r="AD184" s="128"/>
      <c r="AE184" s="144">
        <f ca="1">SUM(AE182:AE183)</f>
        <v>4220874</v>
      </c>
      <c r="AI184" s="322"/>
    </row>
    <row r="185" spans="1:35" s="130" customFormat="1" ht="19.5" customHeight="1" thickTop="1">
      <c r="A185" s="121"/>
      <c r="B185" s="121"/>
      <c r="C185" s="122"/>
      <c r="D185" s="143"/>
      <c r="E185" s="121"/>
      <c r="F185" s="480"/>
      <c r="G185" s="124"/>
      <c r="H185" s="124"/>
      <c r="I185" s="123"/>
      <c r="J185" s="124"/>
      <c r="K185" s="124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4"/>
      <c r="W185" s="14"/>
      <c r="X185" s="14"/>
      <c r="Y185" s="14"/>
      <c r="Z185" s="13"/>
      <c r="AA185" s="13"/>
      <c r="AB185" s="12"/>
      <c r="AC185" s="12"/>
      <c r="AE185" s="129"/>
      <c r="AI185" s="322"/>
    </row>
    <row r="186" spans="1:35" s="130" customFormat="1" ht="15">
      <c r="A186" s="121"/>
      <c r="B186" s="121"/>
      <c r="C186" s="122"/>
      <c r="D186" s="143"/>
      <c r="E186" s="121"/>
      <c r="F186" s="480"/>
      <c r="G186" s="124"/>
      <c r="H186" s="124"/>
      <c r="I186" s="123"/>
      <c r="J186" s="124"/>
      <c r="K186" s="124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  <c r="AA186" s="123"/>
      <c r="AB186" s="123"/>
      <c r="AC186" s="123"/>
      <c r="AD186" s="145"/>
      <c r="AE186" s="559"/>
      <c r="AI186" s="322"/>
    </row>
    <row r="187" spans="1:35" s="130" customFormat="1" ht="19.5" customHeight="1">
      <c r="A187" s="121"/>
      <c r="B187" s="121"/>
      <c r="C187" s="122"/>
      <c r="D187" s="143"/>
      <c r="E187" s="121"/>
      <c r="F187" s="480"/>
      <c r="G187" s="124"/>
      <c r="H187" s="124"/>
      <c r="I187" s="123"/>
      <c r="J187" s="124"/>
      <c r="K187" s="124"/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3"/>
      <c r="AA187" s="123"/>
      <c r="AB187" s="123"/>
      <c r="AC187" s="123"/>
      <c r="AD187" s="145"/>
      <c r="AE187" s="559"/>
      <c r="AI187" s="322"/>
    </row>
    <row r="188" spans="1:35" s="130" customFormat="1" ht="19.5" customHeight="1">
      <c r="A188" s="121"/>
      <c r="B188" s="121"/>
      <c r="C188" s="122"/>
      <c r="D188" s="143"/>
      <c r="E188" s="121"/>
      <c r="F188" s="480"/>
      <c r="G188" s="124"/>
      <c r="H188" s="124"/>
      <c r="I188" s="123"/>
      <c r="J188" s="124"/>
      <c r="K188" s="124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  <c r="AA188" s="123"/>
      <c r="AB188" s="123"/>
      <c r="AC188" s="123"/>
      <c r="AD188" s="145"/>
      <c r="AE188" s="559"/>
      <c r="AI188" s="322"/>
    </row>
    <row r="189" spans="1:35" s="130" customFormat="1" ht="19.5" customHeight="1">
      <c r="A189" s="121"/>
      <c r="B189" s="121"/>
      <c r="C189" s="122"/>
      <c r="D189" s="143"/>
      <c r="E189" s="121"/>
      <c r="F189" s="480"/>
      <c r="G189" s="124"/>
      <c r="H189" s="124"/>
      <c r="I189" s="123"/>
      <c r="J189" s="124"/>
      <c r="K189" s="124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X189" s="146"/>
      <c r="Y189" s="123"/>
      <c r="Z189" s="123"/>
      <c r="AA189" s="123"/>
      <c r="AB189" s="123"/>
      <c r="AC189" s="123"/>
      <c r="AD189" s="145"/>
      <c r="AE189" s="124"/>
      <c r="AI189" s="322"/>
    </row>
    <row r="190" spans="1:35" s="17" customFormat="1" ht="16.5">
      <c r="B190" s="18"/>
      <c r="C190" s="18"/>
      <c r="D190" s="147"/>
      <c r="E190" s="148"/>
      <c r="F190" s="481"/>
      <c r="G190" s="18"/>
      <c r="H190" s="248"/>
      <c r="I190" s="18"/>
      <c r="J190" s="18"/>
      <c r="K190" s="18"/>
      <c r="L190" s="18"/>
      <c r="M190" s="18"/>
      <c r="N190" s="18"/>
      <c r="Q190" s="18"/>
      <c r="R190" s="18"/>
      <c r="S190" s="18"/>
      <c r="T190" s="18"/>
      <c r="U190" s="18"/>
      <c r="V190" s="18"/>
      <c r="Z190" s="18"/>
      <c r="AA190" s="18"/>
      <c r="AB190" s="18"/>
      <c r="AC190" s="18"/>
      <c r="AD190" s="18"/>
      <c r="AE190" s="248"/>
      <c r="AI190" s="323"/>
    </row>
    <row r="191" spans="1:35" s="130" customFormat="1" ht="19.5" customHeight="1">
      <c r="A191" s="121"/>
      <c r="B191" s="121"/>
      <c r="C191" s="122"/>
      <c r="D191" s="143"/>
      <c r="E191" s="121"/>
      <c r="F191" s="480"/>
      <c r="G191" s="124"/>
      <c r="H191" s="124"/>
      <c r="I191" s="123"/>
      <c r="J191" s="124"/>
      <c r="K191" s="124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  <c r="AA191" s="123"/>
      <c r="AB191" s="123"/>
      <c r="AC191" s="123"/>
      <c r="AD191" s="145"/>
      <c r="AE191" s="559"/>
      <c r="AI191" s="322"/>
    </row>
    <row r="192" spans="1:35" ht="21" customHeight="1">
      <c r="V192" s="164"/>
    </row>
    <row r="193" spans="1:35" s="167" customFormat="1" ht="18">
      <c r="A193" s="166"/>
      <c r="B193" s="166"/>
      <c r="D193" s="168"/>
      <c r="E193" s="166"/>
      <c r="F193" s="483"/>
      <c r="G193" s="169"/>
      <c r="H193" s="170"/>
      <c r="J193" s="170"/>
      <c r="K193" s="170"/>
      <c r="L193" s="171"/>
      <c r="M193" s="171"/>
      <c r="N193" s="171"/>
      <c r="O193" s="171"/>
      <c r="P193" s="171"/>
      <c r="Q193" s="172"/>
      <c r="R193" s="173"/>
      <c r="T193" s="166"/>
      <c r="V193" s="173"/>
      <c r="W193" s="174"/>
      <c r="X193" s="175"/>
      <c r="Y193" s="176"/>
      <c r="Z193" s="166"/>
      <c r="AA193" s="166"/>
      <c r="AB193" s="166"/>
      <c r="AC193" s="166"/>
      <c r="AD193" s="166"/>
      <c r="AE193" s="169"/>
      <c r="AI193" s="326"/>
    </row>
    <row r="194" spans="1:35" s="167" customFormat="1" ht="18">
      <c r="A194" s="166"/>
      <c r="B194" s="166"/>
      <c r="D194" s="168"/>
      <c r="E194" s="166"/>
      <c r="F194" s="483"/>
      <c r="H194" s="170"/>
      <c r="J194" s="169"/>
      <c r="K194" s="169"/>
      <c r="L194" s="171"/>
      <c r="M194" s="172"/>
      <c r="O194" s="171"/>
      <c r="R194" s="173"/>
      <c r="T194" s="166"/>
      <c r="V194" s="173"/>
      <c r="W194" s="174"/>
      <c r="Z194" s="166"/>
      <c r="AA194" s="166"/>
      <c r="AB194" s="166"/>
      <c r="AC194" s="166"/>
      <c r="AD194" s="166"/>
      <c r="AE194" s="169"/>
      <c r="AI194" s="326"/>
    </row>
    <row r="195" spans="1:35" s="167" customFormat="1" ht="18">
      <c r="D195" s="168"/>
      <c r="E195" s="166"/>
      <c r="F195" s="483"/>
      <c r="H195" s="170"/>
      <c r="J195" s="170"/>
      <c r="K195" s="170"/>
      <c r="R195" s="166"/>
      <c r="S195" s="177"/>
      <c r="T195" s="178"/>
      <c r="V195" s="173"/>
      <c r="W195" s="174"/>
      <c r="AD195" s="166"/>
      <c r="AE195" s="169"/>
      <c r="AI195" s="326"/>
    </row>
    <row r="196" spans="1:35" s="167" customFormat="1" ht="18">
      <c r="D196" s="168"/>
      <c r="E196" s="166"/>
      <c r="F196" s="484"/>
      <c r="H196" s="170"/>
      <c r="J196" s="170"/>
      <c r="K196" s="170"/>
      <c r="R196" s="166"/>
      <c r="S196" s="177"/>
      <c r="T196" s="178"/>
      <c r="V196" s="173"/>
      <c r="W196" s="174"/>
      <c r="AD196" s="166"/>
      <c r="AE196" s="169"/>
      <c r="AI196" s="326"/>
    </row>
    <row r="197" spans="1:35" s="167" customFormat="1" ht="18">
      <c r="D197" s="168"/>
      <c r="E197" s="166"/>
      <c r="F197" s="483"/>
      <c r="H197" s="170"/>
      <c r="J197" s="170"/>
      <c r="K197" s="170"/>
      <c r="R197" s="166"/>
      <c r="V197" s="173"/>
      <c r="W197" s="174"/>
      <c r="AD197" s="166"/>
      <c r="AE197" s="169"/>
      <c r="AI197" s="326"/>
    </row>
    <row r="198" spans="1:35" ht="18">
      <c r="A198" s="167"/>
      <c r="B198" s="167"/>
      <c r="C198" s="167"/>
      <c r="F198" s="483"/>
      <c r="J198" s="170"/>
      <c r="K198" s="170"/>
      <c r="L198" s="167"/>
      <c r="M198" s="167"/>
      <c r="N198" s="167"/>
      <c r="O198" s="167"/>
      <c r="R198" s="166"/>
      <c r="AB198" s="167"/>
      <c r="AC198" s="167"/>
      <c r="AD198" s="166"/>
    </row>
    <row r="215" spans="2:2" ht="20.25">
      <c r="B215" s="180"/>
    </row>
  </sheetData>
  <mergeCells count="24">
    <mergeCell ref="V5:V6"/>
    <mergeCell ref="H5:H6"/>
    <mergeCell ref="I5:I6"/>
    <mergeCell ref="J5:J6"/>
    <mergeCell ref="K5:K6"/>
    <mergeCell ref="L5:P5"/>
    <mergeCell ref="Q5:Q6"/>
    <mergeCell ref="S5:U5"/>
    <mergeCell ref="W5:AA5"/>
    <mergeCell ref="A1:AE1"/>
    <mergeCell ref="A2:AE2"/>
    <mergeCell ref="A3:AE3"/>
    <mergeCell ref="A5:A6"/>
    <mergeCell ref="B5:B6"/>
    <mergeCell ref="C5:C6"/>
    <mergeCell ref="D5:D6"/>
    <mergeCell ref="E5:E6"/>
    <mergeCell ref="F5:F6"/>
    <mergeCell ref="G5:G6"/>
    <mergeCell ref="AD5:AD6"/>
    <mergeCell ref="AE5:AE6"/>
    <mergeCell ref="AB5:AB6"/>
    <mergeCell ref="AC5:AC6"/>
    <mergeCell ref="R5:R6"/>
  </mergeCells>
  <conditionalFormatting sqref="B8:B10">
    <cfRule type="duplicateValues" dxfId="56" priority="21"/>
  </conditionalFormatting>
  <conditionalFormatting sqref="B13">
    <cfRule type="duplicateValues" dxfId="55" priority="20"/>
  </conditionalFormatting>
  <conditionalFormatting sqref="B14:B16">
    <cfRule type="duplicateValues" dxfId="54" priority="17"/>
  </conditionalFormatting>
  <conditionalFormatting sqref="B17">
    <cfRule type="duplicateValues" dxfId="53" priority="19"/>
  </conditionalFormatting>
  <conditionalFormatting sqref="B19 B23">
    <cfRule type="duplicateValues" dxfId="52" priority="1356"/>
  </conditionalFormatting>
  <conditionalFormatting sqref="B20">
    <cfRule type="duplicateValues" dxfId="51" priority="12"/>
  </conditionalFormatting>
  <conditionalFormatting sqref="B21:B22">
    <cfRule type="duplicateValues" dxfId="50" priority="11"/>
  </conditionalFormatting>
  <conditionalFormatting sqref="B25:B29">
    <cfRule type="duplicateValues" dxfId="49" priority="2345"/>
  </conditionalFormatting>
  <conditionalFormatting sqref="B30:B83">
    <cfRule type="duplicateValues" dxfId="48" priority="1"/>
  </conditionalFormatting>
  <conditionalFormatting sqref="B170">
    <cfRule type="duplicateValues" dxfId="47" priority="1358"/>
  </conditionalFormatting>
  <conditionalFormatting sqref="B171 B166:B169">
    <cfRule type="duplicateValues" dxfId="46" priority="10"/>
  </conditionalFormatting>
  <conditionalFormatting sqref="B173">
    <cfRule type="duplicateValues" dxfId="45" priority="5"/>
  </conditionalFormatting>
  <conditionalFormatting sqref="B174">
    <cfRule type="duplicateValues" dxfId="44" priority="3"/>
  </conditionalFormatting>
  <conditionalFormatting sqref="B175:B177">
    <cfRule type="duplicateValues" dxfId="43" priority="4"/>
  </conditionalFormatting>
  <conditionalFormatting sqref="B178 B172">
    <cfRule type="duplicateValues" dxfId="42" priority="6"/>
  </conditionalFormatting>
  <printOptions horizontalCentered="1"/>
  <pageMargins left="0.19685039370078741" right="0" top="0.35433070866141736" bottom="0.59055118110236227" header="0" footer="0"/>
  <pageSetup paperSize="9" scale="50" fitToHeight="0" orientation="landscape" verticalDpi="1200" r:id="rId1"/>
  <headerFooter>
    <oddFooter xml:space="preserve">&amp;C                                                                                             &amp;R&amp;"-,Bold"&amp;14Page &amp;P of &amp;N 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5">
    <tabColor theme="7" tint="0.39997558519241921"/>
  </sheetPr>
  <dimension ref="A1:AI125"/>
  <sheetViews>
    <sheetView view="pageBreakPreview" topLeftCell="D1" zoomScale="85" zoomScaleNormal="100" zoomScaleSheetLayoutView="85" zoomScalePageLayoutView="80" workbookViewId="0">
      <selection activeCell="AH21" sqref="AH21"/>
    </sheetView>
  </sheetViews>
  <sheetFormatPr defaultColWidth="9.140625" defaultRowHeight="12.75"/>
  <cols>
    <col min="1" max="1" width="4.140625" style="156" customWidth="1"/>
    <col min="2" max="2" width="13.42578125" style="156" customWidth="1"/>
    <col min="3" max="3" width="21.7109375" style="157" customWidth="1"/>
    <col min="4" max="4" width="16.7109375" style="158" customWidth="1"/>
    <col min="5" max="5" width="17" style="156" customWidth="1"/>
    <col min="6" max="6" width="10.5703125" style="157" customWidth="1"/>
    <col min="7" max="7" width="4.28515625" style="159" customWidth="1"/>
    <col min="8" max="8" width="6.5703125" style="160" customWidth="1"/>
    <col min="9" max="9" width="5.7109375" style="157" customWidth="1"/>
    <col min="10" max="10" width="8.85546875" style="160" customWidth="1"/>
    <col min="11" max="11" width="9.42578125" style="160" customWidth="1"/>
    <col min="12" max="12" width="10.85546875" style="161" customWidth="1"/>
    <col min="13" max="13" width="11" style="161" customWidth="1"/>
    <col min="14" max="15" width="8.5703125" style="161" customWidth="1"/>
    <col min="16" max="16" width="7.42578125" style="161" customWidth="1"/>
    <col min="17" max="17" width="9.7109375" style="162" customWidth="1"/>
    <col min="18" max="18" width="9.7109375" style="163" customWidth="1"/>
    <col min="19" max="19" width="7.5703125" style="157" customWidth="1"/>
    <col min="20" max="20" width="7.7109375" style="156" customWidth="1"/>
    <col min="21" max="21" width="8" style="157" customWidth="1"/>
    <col min="22" max="22" width="11.28515625" style="163" customWidth="1"/>
    <col min="23" max="23" width="7.7109375" style="165" customWidth="1"/>
    <col min="24" max="24" width="7.7109375" style="157" customWidth="1"/>
    <col min="25" max="25" width="7.42578125" style="157" customWidth="1"/>
    <col min="26" max="27" width="7.140625" style="156" customWidth="1"/>
    <col min="28" max="28" width="7.85546875" style="156" customWidth="1"/>
    <col min="29" max="29" width="11" style="156" customWidth="1"/>
    <col min="30" max="30" width="6.28515625" style="156" bestFit="1" customWidth="1"/>
    <col min="31" max="31" width="15" style="159" bestFit="1" customWidth="1"/>
    <col min="32" max="32" width="10.85546875" style="157" customWidth="1"/>
    <col min="33" max="33" width="13.42578125" style="157" bestFit="1" customWidth="1"/>
    <col min="34" max="34" width="9" style="157" bestFit="1" customWidth="1"/>
    <col min="35" max="35" width="23" style="325" customWidth="1"/>
    <col min="36" max="16384" width="9.140625" style="157"/>
  </cols>
  <sheetData>
    <row r="1" spans="1:35" s="26" customFormat="1" ht="25.5">
      <c r="A1" s="1157" t="s">
        <v>1632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  <c r="O1" s="1157"/>
      <c r="P1" s="1157"/>
      <c r="Q1" s="1157"/>
      <c r="R1" s="1157"/>
      <c r="S1" s="1157"/>
      <c r="T1" s="1157"/>
      <c r="U1" s="1157"/>
      <c r="V1" s="1157"/>
      <c r="W1" s="1157"/>
      <c r="X1" s="1157"/>
      <c r="Y1" s="1157"/>
      <c r="Z1" s="1157"/>
      <c r="AA1" s="1157"/>
      <c r="AB1" s="1157"/>
      <c r="AC1" s="1157"/>
      <c r="AD1" s="1157"/>
      <c r="AE1" s="1157"/>
      <c r="AI1" s="316"/>
    </row>
    <row r="2" spans="1:35" s="26" customFormat="1" ht="18">
      <c r="A2" s="1158" t="s">
        <v>1</v>
      </c>
      <c r="B2" s="1158"/>
      <c r="C2" s="1158"/>
      <c r="D2" s="1158"/>
      <c r="E2" s="1158"/>
      <c r="F2" s="1158"/>
      <c r="G2" s="1158"/>
      <c r="H2" s="1158"/>
      <c r="I2" s="1158"/>
      <c r="J2" s="1158"/>
      <c r="K2" s="1158"/>
      <c r="L2" s="1158"/>
      <c r="M2" s="1158"/>
      <c r="N2" s="1158"/>
      <c r="O2" s="1158"/>
      <c r="P2" s="1158"/>
      <c r="Q2" s="1158"/>
      <c r="R2" s="1158"/>
      <c r="S2" s="1158"/>
      <c r="T2" s="1158"/>
      <c r="U2" s="1158"/>
      <c r="V2" s="1158"/>
      <c r="W2" s="1158"/>
      <c r="X2" s="1158"/>
      <c r="Y2" s="1158"/>
      <c r="Z2" s="1158"/>
      <c r="AA2" s="1158"/>
      <c r="AB2" s="1158"/>
      <c r="AC2" s="1158"/>
      <c r="AD2" s="1158"/>
      <c r="AE2" s="1158"/>
      <c r="AI2" s="316"/>
    </row>
    <row r="3" spans="1:35" s="26" customFormat="1" ht="18">
      <c r="A3" s="1158" t="str">
        <f>Tractor!A3</f>
        <v>Salary Statement for the month of  December - 2024</v>
      </c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E3" s="1158"/>
      <c r="AI3" s="316"/>
    </row>
    <row r="4" spans="1:35" s="26" customFormat="1" ht="14.25" customHeight="1">
      <c r="A4" s="27"/>
      <c r="B4" s="27"/>
      <c r="C4" s="27"/>
      <c r="D4" s="28"/>
      <c r="E4" s="27"/>
      <c r="F4" s="27"/>
      <c r="G4" s="27"/>
      <c r="H4" s="246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556" t="s">
        <v>2</v>
      </c>
      <c r="AI4" s="316"/>
    </row>
    <row r="5" spans="1:35" s="30" customFormat="1" ht="23.25" customHeight="1">
      <c r="A5" s="1159" t="s">
        <v>3</v>
      </c>
      <c r="B5" s="1177" t="s">
        <v>30</v>
      </c>
      <c r="C5" s="1178" t="s">
        <v>31</v>
      </c>
      <c r="D5" s="1160" t="s">
        <v>32</v>
      </c>
      <c r="E5" s="1160" t="s">
        <v>503</v>
      </c>
      <c r="F5" s="1160" t="s">
        <v>34</v>
      </c>
      <c r="G5" s="1162" t="s">
        <v>35</v>
      </c>
      <c r="H5" s="1162" t="s">
        <v>1782</v>
      </c>
      <c r="I5" s="1162" t="s">
        <v>1783</v>
      </c>
      <c r="J5" s="1162" t="s">
        <v>38</v>
      </c>
      <c r="K5" s="1147" t="s">
        <v>7</v>
      </c>
      <c r="L5" s="1163" t="s">
        <v>39</v>
      </c>
      <c r="M5" s="1163"/>
      <c r="N5" s="1163"/>
      <c r="O5" s="1163"/>
      <c r="P5" s="1163"/>
      <c r="Q5" s="1149" t="s">
        <v>7</v>
      </c>
      <c r="R5" s="1149" t="s">
        <v>8</v>
      </c>
      <c r="S5" s="1150" t="s">
        <v>9</v>
      </c>
      <c r="T5" s="1150"/>
      <c r="U5" s="1150"/>
      <c r="V5" s="1151" t="s">
        <v>40</v>
      </c>
      <c r="W5" s="1153" t="s">
        <v>10</v>
      </c>
      <c r="X5" s="1154"/>
      <c r="Y5" s="1154"/>
      <c r="Z5" s="1154"/>
      <c r="AA5" s="1155"/>
      <c r="AB5" s="1151" t="s">
        <v>11</v>
      </c>
      <c r="AC5" s="1152" t="s">
        <v>41</v>
      </c>
      <c r="AD5" s="1146" t="s">
        <v>42</v>
      </c>
      <c r="AE5" s="1180" t="s">
        <v>43</v>
      </c>
      <c r="AI5" s="317"/>
    </row>
    <row r="6" spans="1:35" s="272" customFormat="1" ht="65.25" customHeight="1">
      <c r="A6" s="1159"/>
      <c r="B6" s="1177"/>
      <c r="C6" s="1178"/>
      <c r="D6" s="1160"/>
      <c r="E6" s="1160"/>
      <c r="F6" s="1160"/>
      <c r="G6" s="1162"/>
      <c r="H6" s="1162"/>
      <c r="I6" s="1162"/>
      <c r="J6" s="1162"/>
      <c r="K6" s="1148"/>
      <c r="L6" s="1027" t="s">
        <v>13</v>
      </c>
      <c r="M6" s="1027" t="s">
        <v>14</v>
      </c>
      <c r="N6" s="1028" t="s">
        <v>15</v>
      </c>
      <c r="O6" s="1028" t="s">
        <v>16</v>
      </c>
      <c r="P6" s="1028" t="s">
        <v>17</v>
      </c>
      <c r="Q6" s="1149"/>
      <c r="R6" s="1149"/>
      <c r="S6" s="1029" t="s">
        <v>18</v>
      </c>
      <c r="T6" s="1029" t="s">
        <v>19</v>
      </c>
      <c r="U6" s="1029" t="s">
        <v>623</v>
      </c>
      <c r="V6" s="1151"/>
      <c r="W6" s="1029" t="s">
        <v>21</v>
      </c>
      <c r="X6" s="1029" t="s">
        <v>585</v>
      </c>
      <c r="Y6" s="1092" t="s">
        <v>1249</v>
      </c>
      <c r="Z6" s="1029" t="s">
        <v>536</v>
      </c>
      <c r="AA6" s="1029" t="s">
        <v>951</v>
      </c>
      <c r="AB6" s="1151"/>
      <c r="AC6" s="1152"/>
      <c r="AD6" s="1146"/>
      <c r="AE6" s="1180"/>
      <c r="AI6" s="318"/>
    </row>
    <row r="7" spans="1:35" s="130" customFormat="1" ht="24" customHeight="1">
      <c r="A7" s="362" t="s">
        <v>836</v>
      </c>
      <c r="B7" s="121"/>
      <c r="C7" s="122"/>
      <c r="D7" s="143"/>
      <c r="E7" s="121"/>
      <c r="F7" s="363"/>
      <c r="G7" s="123"/>
      <c r="H7" s="360"/>
      <c r="I7" s="123"/>
      <c r="J7" s="124"/>
      <c r="K7" s="361"/>
      <c r="L7" s="361"/>
      <c r="M7" s="361"/>
      <c r="N7" s="361"/>
      <c r="O7" s="361"/>
      <c r="P7" s="361"/>
      <c r="Q7" s="123"/>
      <c r="R7" s="361"/>
      <c r="S7" s="361"/>
      <c r="T7" s="361"/>
      <c r="U7" s="361"/>
      <c r="V7" s="469"/>
      <c r="W7" s="469"/>
      <c r="X7" s="470"/>
      <c r="Y7" s="471"/>
      <c r="Z7" s="470"/>
      <c r="AA7" s="470"/>
      <c r="AB7" s="470"/>
      <c r="AC7" s="472"/>
      <c r="AD7" s="128"/>
      <c r="AE7" s="129"/>
      <c r="AG7" s="61"/>
      <c r="AH7" s="198"/>
    </row>
    <row r="8" spans="1:35" s="47" customFormat="1" ht="24" customHeight="1">
      <c r="A8" s="786">
        <v>1</v>
      </c>
      <c r="B8" s="368" t="s">
        <v>1217</v>
      </c>
      <c r="C8" s="629" t="str">
        <f>VLOOKUP(B8,'Salary -Dec-2024 (Full)'!$B$6:$D$286,2,0)</f>
        <v>Md Aslam Uddin</v>
      </c>
      <c r="D8" s="389" t="str">
        <f>VLOOKUP(B8,'Salary -Dec-2024 (Full)'!$B$6:$D$286,3,0)</f>
        <v>Executive</v>
      </c>
      <c r="E8" s="390" t="str">
        <f>VLOOKUP(B8,'Salary -Dec-2024 (Full)'!$B$6:$AE$286,4,0)</f>
        <v>F&amp;A</v>
      </c>
      <c r="F8" s="787">
        <f>VLOOKUP(B8,'Salary -Dec-2024 (Full)'!$B$6:$AE$286,5,0)</f>
        <v>45361</v>
      </c>
      <c r="G8" s="788">
        <f>VLOOKUP(B8,'Salary -Dec-2024 (Full)'!$B$6:$AE$286,6,0)</f>
        <v>31</v>
      </c>
      <c r="H8" s="789">
        <f>VLOOKUP(B8,'Salary -Dec-2024 (Full)'!$B$6:$AE$286,7,0)</f>
        <v>0</v>
      </c>
      <c r="I8" s="788">
        <f t="shared" ref="I8" si="0">G8-H8</f>
        <v>31</v>
      </c>
      <c r="J8" s="789">
        <f t="shared" ref="J8" si="1">Q8/G8</f>
        <v>1290.3225806451612</v>
      </c>
      <c r="K8" s="408">
        <f>VLOOKUP(B8,'Salary -Dec-2024 (Full)'!$B$6:$AE$286,10,0)</f>
        <v>40000</v>
      </c>
      <c r="L8" s="408">
        <f t="shared" ref="L8" si="2">K8*60%</f>
        <v>24000</v>
      </c>
      <c r="M8" s="408">
        <f t="shared" ref="M8" si="3">K8*30%</f>
        <v>12000</v>
      </c>
      <c r="N8" s="408">
        <f t="shared" ref="N8" si="4">K8*6%</f>
        <v>2400</v>
      </c>
      <c r="O8" s="408">
        <f t="shared" ref="O8" si="5">K8*4%</f>
        <v>1600</v>
      </c>
      <c r="P8" s="790">
        <v>0</v>
      </c>
      <c r="Q8" s="791">
        <f>SUM(L8:P8)</f>
        <v>40000</v>
      </c>
      <c r="R8" s="791">
        <f>VLOOKUP(B8,'Salary -Dec-2024 (Full)'!$B$6:$AE$383,17,0)</f>
        <v>40000</v>
      </c>
      <c r="S8" s="408">
        <f>VLOOKUP(B8,'Salary -Dec-2024 (Full)'!$B$6:$AE$383,18,0)</f>
        <v>0</v>
      </c>
      <c r="T8" s="408">
        <f>VLOOKUP(B8,'Salary -Dec-2024 (Full)'!$B$6:$AE$383,19,0)</f>
        <v>0</v>
      </c>
      <c r="U8" s="792">
        <f>VLOOKUP(B8,'Salary -Dec-2024 (Full)'!$B$6:$AE$383,20,0)</f>
        <v>0</v>
      </c>
      <c r="V8" s="606">
        <f>SUM(R8:U8)</f>
        <v>40000</v>
      </c>
      <c r="W8" s="408">
        <f>VLOOKUP(B8,'Salary -Dec-2024 (Full)'!$B$6:$AE$383,22,0)</f>
        <v>417</v>
      </c>
      <c r="X8" s="408">
        <f>VLOOKUP(B8,'Salary -Dec-2024 (Full)'!$B$6:$AE$383,23,0)</f>
        <v>0</v>
      </c>
      <c r="Y8" s="792">
        <f>VLOOKUP(B8,'Salary -Dec-2024 (Full)'!$B$6:$AE$383,24,0)</f>
        <v>0</v>
      </c>
      <c r="Z8" s="408">
        <f>VLOOKUP(B8,'Salary -Dec-2024 (Full)'!$B$6:$AE$383,25,0)</f>
        <v>0</v>
      </c>
      <c r="AA8" s="408">
        <f>VLOOKUP(B8,'Salary -Dec-2024 (Full)'!$B$6:$AE$383,26,0)</f>
        <v>0</v>
      </c>
      <c r="AB8" s="231">
        <f t="shared" ref="AB8" si="6">SUM(W8:AA8)</f>
        <v>417</v>
      </c>
      <c r="AC8" s="436">
        <f t="shared" ref="AC8" si="7">ROUND(V8-AB8,0)</f>
        <v>39583</v>
      </c>
      <c r="AD8" s="605" t="str">
        <f>VLOOKUP(B8,'Salary -Dec-2024 (Full)'!$B$6:$AE$383,29,0)</f>
        <v>Bank</v>
      </c>
      <c r="AE8" s="605" t="str">
        <f>VLOOKUP(B8,'Salary -Dec-2024 (Full)'!$B$6:$AE$383,30,0)</f>
        <v>103.103.1395969</v>
      </c>
      <c r="AG8" s="61"/>
      <c r="AH8" s="183"/>
      <c r="AI8" s="319"/>
    </row>
    <row r="9" spans="1:35" s="47" customFormat="1" ht="17.25" customHeight="1">
      <c r="A9" s="1031"/>
      <c r="B9" s="1032"/>
      <c r="C9" s="1033"/>
      <c r="D9" s="1034"/>
      <c r="E9" s="1040"/>
      <c r="F9" s="1036"/>
      <c r="G9" s="1036"/>
      <c r="H9" s="1036"/>
      <c r="I9" s="1036"/>
      <c r="J9" s="1036"/>
      <c r="K9" s="1037">
        <f>SUM(K8:K8)</f>
        <v>40000</v>
      </c>
      <c r="L9" s="1037">
        <f t="shared" ref="L9:AC9" si="8">SUM(L8:L8)</f>
        <v>24000</v>
      </c>
      <c r="M9" s="1037">
        <f t="shared" si="8"/>
        <v>12000</v>
      </c>
      <c r="N9" s="1037">
        <f t="shared" si="8"/>
        <v>2400</v>
      </c>
      <c r="O9" s="1037">
        <f t="shared" si="8"/>
        <v>1600</v>
      </c>
      <c r="P9" s="1037">
        <f t="shared" si="8"/>
        <v>0</v>
      </c>
      <c r="Q9" s="1037">
        <f t="shared" si="8"/>
        <v>40000</v>
      </c>
      <c r="R9" s="1037">
        <f t="shared" si="8"/>
        <v>40000</v>
      </c>
      <c r="S9" s="1037">
        <f t="shared" si="8"/>
        <v>0</v>
      </c>
      <c r="T9" s="1037">
        <f t="shared" si="8"/>
        <v>0</v>
      </c>
      <c r="U9" s="1037">
        <f t="shared" si="8"/>
        <v>0</v>
      </c>
      <c r="V9" s="1037">
        <f t="shared" si="8"/>
        <v>40000</v>
      </c>
      <c r="W9" s="1037">
        <f t="shared" si="8"/>
        <v>417</v>
      </c>
      <c r="X9" s="1037">
        <f t="shared" si="8"/>
        <v>0</v>
      </c>
      <c r="Y9" s="1037">
        <f t="shared" si="8"/>
        <v>0</v>
      </c>
      <c r="Z9" s="1037">
        <f t="shared" si="8"/>
        <v>0</v>
      </c>
      <c r="AA9" s="1037">
        <f t="shared" si="8"/>
        <v>0</v>
      </c>
      <c r="AB9" s="1037">
        <f t="shared" si="8"/>
        <v>417</v>
      </c>
      <c r="AC9" s="1037">
        <f t="shared" si="8"/>
        <v>39583</v>
      </c>
      <c r="AD9" s="1037"/>
      <c r="AE9" s="1038"/>
      <c r="AG9" s="61"/>
      <c r="AH9" s="183"/>
    </row>
    <row r="10" spans="1:35" s="130" customFormat="1" ht="16.5">
      <c r="A10" s="89" t="s">
        <v>602</v>
      </c>
      <c r="B10" s="121"/>
      <c r="C10" s="122"/>
      <c r="D10" s="143"/>
      <c r="E10" s="121"/>
      <c r="F10" s="363"/>
      <c r="G10" s="123"/>
      <c r="H10" s="360"/>
      <c r="I10" s="123"/>
      <c r="J10" s="124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1"/>
      <c r="V10" s="469"/>
      <c r="W10" s="469"/>
      <c r="X10" s="470"/>
      <c r="Y10" s="471"/>
      <c r="Z10" s="470"/>
      <c r="AA10" s="470"/>
      <c r="AB10" s="470"/>
      <c r="AC10" s="472"/>
      <c r="AD10" s="128"/>
      <c r="AE10" s="129"/>
      <c r="AG10" s="61"/>
      <c r="AH10" s="198"/>
    </row>
    <row r="11" spans="1:35" s="61" customFormat="1" ht="21" customHeight="1">
      <c r="A11" s="48">
        <v>1</v>
      </c>
      <c r="B11" s="49" t="s">
        <v>366</v>
      </c>
      <c r="C11" s="50" t="str">
        <f>VLOOKUP(B11,'Salary -Dec-2024 (Full)'!$B$8:$AE$381,2,0)</f>
        <v>Md. Aktar Hossen</v>
      </c>
      <c r="D11" s="279" t="str">
        <f>VLOOKUP(B11,'Salary -Dec-2024 (Full)'!$B$8:$AE$381,3,0)</f>
        <v>Deputy Manager</v>
      </c>
      <c r="E11" s="51" t="str">
        <f>VLOOKUP(B11,'Salary -Dec-2024 (Full)'!$B$8:$AE$381,4,0)</f>
        <v xml:space="preserve"> Fertilizer</v>
      </c>
      <c r="F11" s="288">
        <f>VLOOKUP(B11,'Salary -Dec-2024 (Full)'!$B$8:$AE$381,5,0)</f>
        <v>44744</v>
      </c>
      <c r="G11" s="52">
        <f>VLOOKUP(B11,'Salary -Dec-2024 (Full)'!$B$8:$AE$381,6,0)</f>
        <v>31</v>
      </c>
      <c r="H11" s="53">
        <f>VLOOKUP(B11,'Salary -Dec-2024 (Full)'!$B$8:$AE$381,7,0)</f>
        <v>0</v>
      </c>
      <c r="I11" s="52">
        <f t="shared" ref="I11:I12" si="9">G11-H11</f>
        <v>31</v>
      </c>
      <c r="J11" s="53">
        <f t="shared" ref="J11:J12" si="10">Q11/G11</f>
        <v>1387.0967741935483</v>
      </c>
      <c r="K11" s="58">
        <f>VLOOKUP(B11,'Salary -Dec-2024 (Full)'!$B$6:$AE$383,10,0)</f>
        <v>43000</v>
      </c>
      <c r="L11" s="54">
        <f t="shared" ref="L11:L12" si="11">K11*60%</f>
        <v>25800</v>
      </c>
      <c r="M11" s="54">
        <f t="shared" ref="M11:M12" si="12">K11*30%</f>
        <v>12900</v>
      </c>
      <c r="N11" s="54">
        <f t="shared" ref="N11:N12" si="13">K11*6%</f>
        <v>2580</v>
      </c>
      <c r="O11" s="54">
        <f t="shared" ref="O11:O12" si="14">K11*4%</f>
        <v>1720</v>
      </c>
      <c r="P11" s="55"/>
      <c r="Q11" s="56">
        <f t="shared" ref="Q11:Q12" si="15">SUM(L11:P11)</f>
        <v>43000</v>
      </c>
      <c r="R11" s="56">
        <f>VLOOKUP(B11,'Salary -Dec-2024 (Full)'!$B$6:$AE$383,17,0)</f>
        <v>43000</v>
      </c>
      <c r="S11" s="58">
        <f>VLOOKUP(B11,'Salary -Dec-2024 (Full)'!$B$6:$AE$383,18,0)</f>
        <v>0</v>
      </c>
      <c r="T11" s="58">
        <f>VLOOKUP(B11,'Salary -Dec-2024 (Full)'!$B$6:$AE$383,19,0)</f>
        <v>0</v>
      </c>
      <c r="U11" s="393">
        <f>VLOOKUP(B11,'Salary -Dec-2024 (Full)'!$B$6:$AE$383,20,0)</f>
        <v>0</v>
      </c>
      <c r="V11" s="57">
        <f t="shared" ref="V11:V12" si="16">SUM(R11:U11)</f>
        <v>43000</v>
      </c>
      <c r="W11" s="58">
        <f>VLOOKUP(B11,'Salary -Dec-2024 (Full)'!$B$6:$AE$383,22,0)</f>
        <v>715</v>
      </c>
      <c r="X11" s="58">
        <f>VLOOKUP(B11,'Salary -Dec-2024 (Full)'!$B$6:$AE$383,23,0)</f>
        <v>0</v>
      </c>
      <c r="Y11" s="393">
        <f>VLOOKUP(B11,'Salary -Dec-2024 (Full)'!$B$6:$AE$383,24,0)</f>
        <v>1290</v>
      </c>
      <c r="Z11" s="58">
        <f>VLOOKUP(B11,'Salary -Dec-2024 (Full)'!$B$6:$AE$383,25,0)</f>
        <v>0</v>
      </c>
      <c r="AA11" s="393">
        <f>VLOOKUP(B11,'Salary -Dec-2024 (Full)'!$B$6:$AE$383,26,0)</f>
        <v>0</v>
      </c>
      <c r="AB11" s="57">
        <f>SUM(W11:AA11)</f>
        <v>2005</v>
      </c>
      <c r="AC11" s="57">
        <f t="shared" ref="AC11" si="17">ROUND(V11-AB11,0)</f>
        <v>40995</v>
      </c>
      <c r="AD11" s="504" t="str">
        <f>VLOOKUP(B11,'Salary -Dec-2024 (Full)'!$B$6:$AE$383,29,0)</f>
        <v>Bank</v>
      </c>
      <c r="AE11" s="504" t="str">
        <f>VLOOKUP(B11,'Salary -Dec-2024 (Full)'!$B$6:$AE$2853,30,0)</f>
        <v>233.158.0013172</v>
      </c>
      <c r="AH11" s="198"/>
    </row>
    <row r="12" spans="1:35" s="61" customFormat="1" ht="21" customHeight="1">
      <c r="A12" s="62">
        <v>2</v>
      </c>
      <c r="B12" s="63" t="s">
        <v>369</v>
      </c>
      <c r="C12" s="64" t="str">
        <f>VLOOKUP(B12,'Salary -Dec-2024 (Full)'!$B$8:$AE$381,2,0)</f>
        <v>Md. Khasru Rikabder</v>
      </c>
      <c r="D12" s="115" t="str">
        <f>VLOOKUP(B12,'Salary -Dec-2024 (Full)'!$B$8:$AE$381,3,0)</f>
        <v>Depot Manager</v>
      </c>
      <c r="E12" s="65" t="str">
        <f>VLOOKUP(B12,'Salary -Dec-2024 (Full)'!$B$8:$AE$381,4,0)</f>
        <v>Fertilizer</v>
      </c>
      <c r="F12" s="265">
        <f>VLOOKUP(B12,'Salary -Dec-2024 (Full)'!$B$8:$AE$381,5,0)</f>
        <v>44776</v>
      </c>
      <c r="G12" s="66">
        <f>VLOOKUP(B12,'Salary -Dec-2024 (Full)'!$B$8:$AE$381,6,0)</f>
        <v>31</v>
      </c>
      <c r="H12" s="67">
        <f>VLOOKUP(B12,'Salary -Dec-2024 (Full)'!$B$8:$AE$381,7,0)</f>
        <v>0</v>
      </c>
      <c r="I12" s="66">
        <f t="shared" si="9"/>
        <v>31</v>
      </c>
      <c r="J12" s="67">
        <f t="shared" si="10"/>
        <v>1290.3225806451612</v>
      </c>
      <c r="K12" s="192">
        <f>VLOOKUP(B12,'Salary -Dec-2024 (Full)'!$B$6:$AE$383,10,0)</f>
        <v>40000</v>
      </c>
      <c r="L12" s="68">
        <f t="shared" si="11"/>
        <v>24000</v>
      </c>
      <c r="M12" s="68">
        <f t="shared" si="12"/>
        <v>12000</v>
      </c>
      <c r="N12" s="68">
        <f t="shared" si="13"/>
        <v>2400</v>
      </c>
      <c r="O12" s="68">
        <f t="shared" si="14"/>
        <v>1600</v>
      </c>
      <c r="P12" s="69"/>
      <c r="Q12" s="70">
        <f t="shared" si="15"/>
        <v>40000</v>
      </c>
      <c r="R12" s="70">
        <f>VLOOKUP(B12,'Salary -Dec-2024 (Full)'!$B$6:$AE$383,17,0)</f>
        <v>40000</v>
      </c>
      <c r="S12" s="192">
        <f>VLOOKUP(B12,'Salary -Dec-2024 (Full)'!$B$6:$AE$383,18,0)</f>
        <v>0</v>
      </c>
      <c r="T12" s="192">
        <f>VLOOKUP(B12,'Salary -Dec-2024 (Full)'!$B$6:$AE$383,19,0)</f>
        <v>0</v>
      </c>
      <c r="U12" s="337">
        <f>VLOOKUP(B12,'Salary -Dec-2024 (Full)'!$B$6:$AE$383,20,0)</f>
        <v>0</v>
      </c>
      <c r="V12" s="71">
        <f t="shared" si="16"/>
        <v>40000</v>
      </c>
      <c r="W12" s="192">
        <f>VLOOKUP(B12,'Salary -Dec-2024 (Full)'!$B$6:$AE$383,22,0)</f>
        <v>417</v>
      </c>
      <c r="X12" s="192">
        <f>VLOOKUP(B12,'Salary -Dec-2024 (Full)'!$B$6:$AE$383,23,0)</f>
        <v>0</v>
      </c>
      <c r="Y12" s="337">
        <f>VLOOKUP(B12,'Salary -Dec-2024 (Full)'!$B$6:$AE$383,24,0)</f>
        <v>1200</v>
      </c>
      <c r="Z12" s="192">
        <f>VLOOKUP(B12,'Salary -Dec-2024 (Full)'!$B$6:$AE$383,25,0)</f>
        <v>0</v>
      </c>
      <c r="AA12" s="192">
        <f>VLOOKUP(B12,'Salary -Dec-2024 (Full)'!$B$6:$AE$383,26,0)</f>
        <v>0</v>
      </c>
      <c r="AB12" s="377">
        <f>SUM(W12:AA12)</f>
        <v>1617</v>
      </c>
      <c r="AC12" s="71">
        <f t="shared" ref="AC12" si="18">ROUND(V12-AB12,0)</f>
        <v>38383</v>
      </c>
      <c r="AD12" s="346" t="str">
        <f>VLOOKUP(B12,'Salary -Dec-2024 (Full)'!$B$6:$AE$383,29,0)</f>
        <v>Bank</v>
      </c>
      <c r="AE12" s="346" t="str">
        <f>VLOOKUP(B12,'Salary -Dec-2024 (Full)'!$B$6:$AE$2853,30,0)</f>
        <v>106.158.0008403</v>
      </c>
      <c r="AH12" s="183"/>
      <c r="AI12" s="320"/>
    </row>
    <row r="13" spans="1:35" s="61" customFormat="1" ht="21" customHeight="1">
      <c r="A13" s="62">
        <v>3</v>
      </c>
      <c r="B13" s="63" t="s">
        <v>1451</v>
      </c>
      <c r="C13" s="64" t="str">
        <f>VLOOKUP(B13,'Salary -Dec-2024 (Full)'!$B$8:$AE$381,2,0)</f>
        <v>Md. Ahshan Ullah Khan</v>
      </c>
      <c r="D13" s="115" t="str">
        <f>VLOOKUP(B13,'Salary -Dec-2024 (Full)'!$B$8:$AE$381,3,0)</f>
        <v>Site Officer</v>
      </c>
      <c r="E13" s="65" t="str">
        <f>VLOOKUP(B13,'Salary -Dec-2024 (Full)'!$B$8:$AE$381,4,0)</f>
        <v>Pesticide &amp; Fertilizer</v>
      </c>
      <c r="F13" s="265">
        <f>VLOOKUP(B13,'Salary -Dec-2024 (Full)'!$B$8:$AE$381,5,0)</f>
        <v>45444</v>
      </c>
      <c r="G13" s="66">
        <f>VLOOKUP(B13,'Salary -Dec-2024 (Full)'!$B$8:$AE$381,6,0)</f>
        <v>31</v>
      </c>
      <c r="H13" s="67">
        <f>VLOOKUP(B13,'Salary -Dec-2024 (Full)'!$B$8:$AE$381,7,0)</f>
        <v>0</v>
      </c>
      <c r="I13" s="66">
        <f t="shared" ref="I13" si="19">G13-H13</f>
        <v>31</v>
      </c>
      <c r="J13" s="67">
        <f t="shared" ref="J13" si="20">Q13/G13</f>
        <v>790.32258064516134</v>
      </c>
      <c r="K13" s="192">
        <f>VLOOKUP(B13,'Salary -Dec-2024 (Full)'!$B$6:$AE$383,10,0)</f>
        <v>24500</v>
      </c>
      <c r="L13" s="68">
        <f t="shared" ref="L13" si="21">K13*60%</f>
        <v>14700</v>
      </c>
      <c r="M13" s="68">
        <f t="shared" ref="M13" si="22">K13*30%</f>
        <v>7350</v>
      </c>
      <c r="N13" s="68">
        <f t="shared" ref="N13" si="23">K13*6%</f>
        <v>1470</v>
      </c>
      <c r="O13" s="68">
        <f t="shared" ref="O13" si="24">K13*4%</f>
        <v>980</v>
      </c>
      <c r="P13" s="69"/>
      <c r="Q13" s="70">
        <f t="shared" ref="Q13" si="25">SUM(L13:P13)</f>
        <v>24500</v>
      </c>
      <c r="R13" s="70">
        <f>VLOOKUP(B13,'Salary -Dec-2024 (Full)'!$B$6:$AE$383,17,0)</f>
        <v>24500</v>
      </c>
      <c r="S13" s="192">
        <f>VLOOKUP(B13,'Salary -Dec-2024 (Full)'!$B$6:$AE$383,18,0)</f>
        <v>0</v>
      </c>
      <c r="T13" s="192">
        <f>VLOOKUP(B13,'Salary -Dec-2024 (Full)'!$B$6:$AE$383,19,0)</f>
        <v>0</v>
      </c>
      <c r="U13" s="337">
        <f>VLOOKUP(B13,'Salary -Dec-2024 (Full)'!$B$6:$AE$383,20,0)</f>
        <v>0</v>
      </c>
      <c r="V13" s="71">
        <f t="shared" ref="V13" si="26">SUM(R13:U13)</f>
        <v>24500</v>
      </c>
      <c r="W13" s="192">
        <f>VLOOKUP(B13,'Salary -Dec-2024 (Full)'!$B$6:$AE$383,22,0)</f>
        <v>0</v>
      </c>
      <c r="X13" s="192">
        <f>VLOOKUP(B13,'Salary -Dec-2024 (Full)'!$B$6:$AE$383,23,0)</f>
        <v>0</v>
      </c>
      <c r="Y13" s="337">
        <f>VLOOKUP(B13,'Salary -Dec-2024 (Full)'!$B$6:$AE$383,24,0)</f>
        <v>0</v>
      </c>
      <c r="Z13" s="192">
        <f>VLOOKUP(B13,'Salary -Dec-2024 (Full)'!$B$6:$AE$383,25,0)</f>
        <v>0</v>
      </c>
      <c r="AA13" s="192">
        <f>VLOOKUP(B13,'Salary -Dec-2024 (Full)'!$B$6:$AE$383,26,0)</f>
        <v>0</v>
      </c>
      <c r="AB13" s="377">
        <f>SUM(W13:AA13)</f>
        <v>0</v>
      </c>
      <c r="AC13" s="71">
        <f t="shared" ref="AC13" si="27">ROUND(V13-AB13,0)</f>
        <v>24500</v>
      </c>
      <c r="AD13" s="346" t="str">
        <f>VLOOKUP(B13,'Salary -Dec-2024 (Full)'!$B$6:$AE$383,29,0)</f>
        <v>Bank</v>
      </c>
      <c r="AE13" s="346" t="str">
        <f>VLOOKUP(B13,'Salary -Dec-2024 (Full)'!$B$6:$AE$2853,30,0)</f>
        <v>125.158.0158446</v>
      </c>
      <c r="AH13" s="183"/>
      <c r="AI13" s="320"/>
    </row>
    <row r="14" spans="1:35" s="61" customFormat="1" ht="21" customHeight="1">
      <c r="A14" s="62">
        <v>4</v>
      </c>
      <c r="B14" s="63" t="s">
        <v>1612</v>
      </c>
      <c r="C14" s="64" t="str">
        <f>VLOOKUP(B14,'Salary -Dec-2024 (Full)'!$B$8:$AE$381,2,0)</f>
        <v>Md. Amirul Islam</v>
      </c>
      <c r="D14" s="115" t="str">
        <f>VLOOKUP(B14,'Salary -Dec-2024 (Full)'!$B$8:$AE$381,3,0)</f>
        <v>Deputy Manager</v>
      </c>
      <c r="E14" s="65" t="str">
        <f>VLOOKUP(B14,'Salary -Dec-2024 (Full)'!$B$8:$AE$381,4,0)</f>
        <v>Pesticide &amp; Fertilizer</v>
      </c>
      <c r="F14" s="265">
        <f>VLOOKUP(B14,'Salary -Dec-2024 (Full)'!$B$8:$AE$381,5,0)</f>
        <v>45507</v>
      </c>
      <c r="G14" s="66">
        <f>VLOOKUP(B14,'Salary -Dec-2024 (Full)'!$B$8:$AE$381,6,0)</f>
        <v>31</v>
      </c>
      <c r="H14" s="67">
        <f>VLOOKUP(B14,'Salary -Dec-2024 (Full)'!$B$8:$AE$381,7,0)</f>
        <v>0</v>
      </c>
      <c r="I14" s="66">
        <f t="shared" ref="I14" si="28">G14-H14</f>
        <v>31</v>
      </c>
      <c r="J14" s="67">
        <f t="shared" ref="J14" si="29">Q14/G14</f>
        <v>2096.7741935483873</v>
      </c>
      <c r="K14" s="192">
        <f>VLOOKUP(B14,'Salary -Dec-2024 (Full)'!$B$6:$AE$383,10,0)</f>
        <v>65000</v>
      </c>
      <c r="L14" s="68">
        <f t="shared" ref="L14" si="30">K14*60%</f>
        <v>39000</v>
      </c>
      <c r="M14" s="68">
        <f t="shared" ref="M14" si="31">K14*30%</f>
        <v>19500</v>
      </c>
      <c r="N14" s="68">
        <f t="shared" ref="N14" si="32">K14*6%</f>
        <v>3900</v>
      </c>
      <c r="O14" s="68">
        <f t="shared" ref="O14" si="33">K14*4%</f>
        <v>2600</v>
      </c>
      <c r="P14" s="69"/>
      <c r="Q14" s="70">
        <f t="shared" ref="Q14" si="34">SUM(L14:P14)</f>
        <v>65000</v>
      </c>
      <c r="R14" s="70">
        <f>VLOOKUP(B14,'Salary -Dec-2024 (Full)'!$B$6:$AE$383,17,0)</f>
        <v>65000</v>
      </c>
      <c r="S14" s="192">
        <f>VLOOKUP(B14,'Salary -Dec-2024 (Full)'!$B$6:$AE$383,18,0)</f>
        <v>0</v>
      </c>
      <c r="T14" s="192">
        <f>VLOOKUP(B14,'Salary -Dec-2024 (Full)'!$B$6:$AE$383,19,0)</f>
        <v>0</v>
      </c>
      <c r="U14" s="337">
        <f>VLOOKUP(B14,'Salary -Dec-2024 (Full)'!$B$6:$AE$383,20,0)</f>
        <v>0</v>
      </c>
      <c r="V14" s="71">
        <f t="shared" ref="V14" si="35">SUM(R14:U14)</f>
        <v>65000</v>
      </c>
      <c r="W14" s="192">
        <f>VLOOKUP(B14,'Salary -Dec-2024 (Full)'!$B$6:$AE$383,22,0)</f>
        <v>455</v>
      </c>
      <c r="X14" s="192">
        <f>VLOOKUP(B14,'Salary -Dec-2024 (Full)'!$B$6:$AE$383,23,0)</f>
        <v>0</v>
      </c>
      <c r="Y14" s="337">
        <f>VLOOKUP(B14,'Salary -Dec-2024 (Full)'!$B$6:$AE$383,24,0)</f>
        <v>0</v>
      </c>
      <c r="Z14" s="192">
        <f>VLOOKUP(B14,'Salary -Dec-2024 (Full)'!$B$6:$AE$383,25,0)</f>
        <v>0</v>
      </c>
      <c r="AA14" s="192">
        <f>VLOOKUP(B14,'Salary -Dec-2024 (Full)'!$B$6:$AE$383,26,0)</f>
        <v>0</v>
      </c>
      <c r="AB14" s="377">
        <f>SUM(W14:AA14)</f>
        <v>455</v>
      </c>
      <c r="AC14" s="71">
        <f t="shared" ref="AC14" si="36">ROUND(V14-AB14,0)</f>
        <v>64545</v>
      </c>
      <c r="AD14" s="346" t="str">
        <f>VLOOKUP(B14,'Salary -Dec-2024 (Full)'!$B$6:$AE$383,29,0)</f>
        <v>Bank</v>
      </c>
      <c r="AE14" s="346" t="str">
        <f>VLOOKUP(B14,'Salary -Dec-2024 (Full)'!$B$6:$AE$2853,30,0)</f>
        <v>226.103.0027678</v>
      </c>
      <c r="AH14" s="183"/>
      <c r="AI14" s="320"/>
    </row>
    <row r="15" spans="1:35" s="61" customFormat="1" ht="21" customHeight="1">
      <c r="A15" s="62">
        <v>5</v>
      </c>
      <c r="B15" s="63" t="s">
        <v>1803</v>
      </c>
      <c r="C15" s="64" t="str">
        <f>VLOOKUP(B15,'Salary -Dec-2024 (Full)'!$B$8:$AE$381,2,0)</f>
        <v>Md Matlibur Rahman Khondokar</v>
      </c>
      <c r="D15" s="115" t="str">
        <f>VLOOKUP(B15,'Salary -Dec-2024 (Full)'!$B$8:$AE$381,3,0)</f>
        <v>Factory Incharge</v>
      </c>
      <c r="E15" s="65" t="str">
        <f>VLOOKUP(B15,'Salary -Dec-2024 (Full)'!$B$8:$AE$381,4,0)</f>
        <v>Pesticide &amp; Fertilizer</v>
      </c>
      <c r="F15" s="265">
        <f>VLOOKUP(B15,'Salary -Dec-2024 (Full)'!$B$8:$AE$381,5,0)</f>
        <v>45566</v>
      </c>
      <c r="G15" s="66">
        <f>VLOOKUP(B15,'Salary -Dec-2024 (Full)'!$B$8:$AE$381,6,0)</f>
        <v>31</v>
      </c>
      <c r="H15" s="67">
        <f>VLOOKUP(B15,'Salary -Dec-2024 (Full)'!$B$8:$AE$381,7,0)</f>
        <v>0</v>
      </c>
      <c r="I15" s="66">
        <f t="shared" ref="I15" si="37">G15-H15</f>
        <v>31</v>
      </c>
      <c r="J15" s="67">
        <f t="shared" ref="J15" si="38">Q15/G15</f>
        <v>903.22580645161293</v>
      </c>
      <c r="K15" s="192">
        <f>VLOOKUP(B15,'Salary -Dec-2024 (Full)'!$B$6:$AE$383,10,0)</f>
        <v>28000</v>
      </c>
      <c r="L15" s="68">
        <f t="shared" ref="L15" si="39">K15*60%</f>
        <v>16800</v>
      </c>
      <c r="M15" s="68">
        <f t="shared" ref="M15" si="40">K15*30%</f>
        <v>8400</v>
      </c>
      <c r="N15" s="68">
        <f t="shared" ref="N15" si="41">K15*6%</f>
        <v>1680</v>
      </c>
      <c r="O15" s="68">
        <f t="shared" ref="O15" si="42">K15*4%</f>
        <v>1120</v>
      </c>
      <c r="P15" s="69"/>
      <c r="Q15" s="70">
        <f t="shared" ref="Q15" si="43">SUM(L15:P15)</f>
        <v>28000</v>
      </c>
      <c r="R15" s="70">
        <f>VLOOKUP(B15,'Salary -Dec-2024 (Full)'!$B$6:$AE$383,17,0)</f>
        <v>28000</v>
      </c>
      <c r="S15" s="192">
        <f>VLOOKUP(B15,'Salary -Dec-2024 (Full)'!$B$6:$AE$383,18,0)</f>
        <v>0</v>
      </c>
      <c r="T15" s="192">
        <f>VLOOKUP(B15,'Salary -Dec-2024 (Full)'!$B$6:$AE$383,19,0)</f>
        <v>0</v>
      </c>
      <c r="U15" s="337">
        <f>VLOOKUP(B15,'Salary -Dec-2024 (Full)'!$B$6:$AE$383,20,0)</f>
        <v>0</v>
      </c>
      <c r="V15" s="71">
        <f t="shared" ref="V15" si="44">SUM(R15:U15)</f>
        <v>28000</v>
      </c>
      <c r="W15" s="192">
        <f>VLOOKUP(B15,'Salary -Dec-2024 (Full)'!$B$6:$AE$383,22,0)</f>
        <v>0</v>
      </c>
      <c r="X15" s="192">
        <f>VLOOKUP(B15,'Salary -Dec-2024 (Full)'!$B$6:$AE$383,23,0)</f>
        <v>0</v>
      </c>
      <c r="Y15" s="337">
        <f>VLOOKUP(B15,'Salary -Dec-2024 (Full)'!$B$6:$AE$383,24,0)</f>
        <v>0</v>
      </c>
      <c r="Z15" s="192">
        <f>VLOOKUP(B15,'Salary -Dec-2024 (Full)'!$B$6:$AE$383,25,0)</f>
        <v>0</v>
      </c>
      <c r="AA15" s="192">
        <f>VLOOKUP(B15,'Salary -Dec-2024 (Full)'!$B$6:$AE$383,26,0)</f>
        <v>0</v>
      </c>
      <c r="AB15" s="377">
        <f>SUM(W15:AA15)</f>
        <v>0</v>
      </c>
      <c r="AC15" s="71">
        <f t="shared" ref="AC15" si="45">ROUND(V15-AB15,0)</f>
        <v>28000</v>
      </c>
      <c r="AD15" s="346" t="str">
        <f>VLOOKUP(B15,'Salary -Dec-2024 (Full)'!$B$6:$AE$383,29,0)</f>
        <v>Bank</v>
      </c>
      <c r="AE15" s="346" t="str">
        <f>VLOOKUP(B15,'Salary -Dec-2024 (Full)'!$B$6:$AE$2853,30,0)</f>
        <v>125.158.0180213</v>
      </c>
      <c r="AH15" s="183"/>
      <c r="AI15" s="320"/>
    </row>
    <row r="16" spans="1:35" s="61" customFormat="1" ht="21" customHeight="1">
      <c r="A16" s="62">
        <v>6</v>
      </c>
      <c r="B16" s="63" t="s">
        <v>1851</v>
      </c>
      <c r="C16" s="64" t="str">
        <f>VLOOKUP(B16,'Salary -Dec-2024 (Full)'!$B$8:$AE$381,2,0)</f>
        <v>Mozahid Hossen</v>
      </c>
      <c r="D16" s="115" t="str">
        <f>VLOOKUP(B16,'Salary -Dec-2024 (Full)'!$B$8:$AE$381,3,0)</f>
        <v>Security Incharge</v>
      </c>
      <c r="E16" s="65" t="str">
        <f>VLOOKUP(B16,'Salary -Dec-2024 (Full)'!$B$8:$AE$381,4,0)</f>
        <v>Pesticide &amp; Fertilizer</v>
      </c>
      <c r="F16" s="265">
        <f>VLOOKUP(B16,'Salary -Dec-2024 (Full)'!$B$8:$AE$381,5,0)</f>
        <v>45627</v>
      </c>
      <c r="G16" s="66">
        <f>VLOOKUP(B16,'Salary -Dec-2024 (Full)'!$B$8:$AE$381,6,0)</f>
        <v>31</v>
      </c>
      <c r="H16" s="67">
        <f>VLOOKUP(B16,'Salary -Dec-2024 (Full)'!$B$8:$AE$381,7,0)</f>
        <v>0</v>
      </c>
      <c r="I16" s="66">
        <f t="shared" ref="I16:I20" si="46">G16-H16</f>
        <v>31</v>
      </c>
      <c r="J16" s="67">
        <f t="shared" ref="J16:J20" si="47">Q16/G16</f>
        <v>1129.0322580645161</v>
      </c>
      <c r="K16" s="192">
        <f>VLOOKUP(B16,'Salary -Dec-2024 (Full)'!$B$6:$AE$383,10,0)</f>
        <v>35000</v>
      </c>
      <c r="L16" s="68">
        <f t="shared" ref="L16:L20" si="48">K16*60%</f>
        <v>21000</v>
      </c>
      <c r="M16" s="68">
        <f t="shared" ref="M16:M20" si="49">K16*30%</f>
        <v>10500</v>
      </c>
      <c r="N16" s="68">
        <f t="shared" ref="N16:N20" si="50">K16*6%</f>
        <v>2100</v>
      </c>
      <c r="O16" s="68">
        <f t="shared" ref="O16:O20" si="51">K16*4%</f>
        <v>1400</v>
      </c>
      <c r="P16" s="69"/>
      <c r="Q16" s="70">
        <f t="shared" ref="Q16:Q20" si="52">SUM(L16:P16)</f>
        <v>35000</v>
      </c>
      <c r="R16" s="70">
        <f>VLOOKUP(B16,'Salary -Dec-2024 (Full)'!$B$6:$AE$383,17,0)</f>
        <v>35000</v>
      </c>
      <c r="S16" s="192">
        <f>VLOOKUP(B16,'Salary -Dec-2024 (Full)'!$B$6:$AE$383,18,0)</f>
        <v>0</v>
      </c>
      <c r="T16" s="192">
        <f>VLOOKUP(B16,'Salary -Dec-2024 (Full)'!$B$6:$AE$383,19,0)</f>
        <v>0</v>
      </c>
      <c r="U16" s="337">
        <f>VLOOKUP(B16,'Salary -Dec-2024 (Full)'!$B$6:$AE$383,20,0)</f>
        <v>0</v>
      </c>
      <c r="V16" s="71">
        <f t="shared" ref="V16:V20" si="53">SUM(R16:U16)</f>
        <v>35000</v>
      </c>
      <c r="W16" s="192">
        <f>VLOOKUP(B16,'Salary -Dec-2024 (Full)'!$B$6:$AE$383,22,0)</f>
        <v>0</v>
      </c>
      <c r="X16" s="192">
        <f>VLOOKUP(B16,'Salary -Dec-2024 (Full)'!$B$6:$AE$383,23,0)</f>
        <v>0</v>
      </c>
      <c r="Y16" s="337">
        <f>VLOOKUP(B16,'Salary -Dec-2024 (Full)'!$B$6:$AE$383,24,0)</f>
        <v>0</v>
      </c>
      <c r="Z16" s="192">
        <f>VLOOKUP(B16,'Salary -Dec-2024 (Full)'!$B$6:$AE$383,25,0)</f>
        <v>0</v>
      </c>
      <c r="AA16" s="192">
        <f>VLOOKUP(B16,'Salary -Dec-2024 (Full)'!$B$6:$AE$383,26,0)</f>
        <v>0</v>
      </c>
      <c r="AB16" s="377">
        <f t="shared" ref="AB16:AB20" si="54">SUM(W16:AA16)</f>
        <v>0</v>
      </c>
      <c r="AC16" s="71">
        <f t="shared" ref="AC16:AC20" si="55">ROUND(V16-AB16,0)</f>
        <v>35000</v>
      </c>
      <c r="AD16" s="346" t="str">
        <f>VLOOKUP(B16,'Salary -Dec-2024 (Full)'!$B$6:$AE$383,29,0)</f>
        <v>Bank</v>
      </c>
      <c r="AE16" s="346" t="str">
        <f>VLOOKUP(B16,'Salary -Dec-2024 (Full)'!$B$6:$AE$2853,30,0)</f>
        <v>125.103.0242006</v>
      </c>
      <c r="AH16" s="183"/>
      <c r="AI16" s="320"/>
    </row>
    <row r="17" spans="1:35" s="61" customFormat="1" ht="21" customHeight="1">
      <c r="A17" s="62">
        <v>7</v>
      </c>
      <c r="B17" s="63" t="s">
        <v>1855</v>
      </c>
      <c r="C17" s="64" t="str">
        <f>VLOOKUP(B17,'Salary -Dec-2024 (Full)'!$B$8:$AE$381,2,0)</f>
        <v>Md ZM Zannatul Hadik</v>
      </c>
      <c r="D17" s="115" t="str">
        <f>VLOOKUP(B17,'Salary -Dec-2024 (Full)'!$B$8:$AE$381,3,0)</f>
        <v>MIS Officer</v>
      </c>
      <c r="E17" s="65" t="str">
        <f>VLOOKUP(B17,'Salary -Dec-2024 (Full)'!$B$8:$AE$381,4,0)</f>
        <v>Pesticide &amp; Fertilizer</v>
      </c>
      <c r="F17" s="265">
        <f>VLOOKUP(B17,'Salary -Dec-2024 (Full)'!$B$8:$AE$381,5,0)</f>
        <v>45637</v>
      </c>
      <c r="G17" s="66">
        <f>VLOOKUP(B17,'Salary -Dec-2024 (Full)'!$B$8:$AE$381,6,0)</f>
        <v>31</v>
      </c>
      <c r="H17" s="67">
        <f>VLOOKUP(B17,'Salary -Dec-2024 (Full)'!$B$8:$AE$381,7,0)</f>
        <v>10</v>
      </c>
      <c r="I17" s="66">
        <f t="shared" si="46"/>
        <v>21</v>
      </c>
      <c r="J17" s="67">
        <f t="shared" si="47"/>
        <v>709.67741935483866</v>
      </c>
      <c r="K17" s="192">
        <f>VLOOKUP(B17,'Salary -Dec-2024 (Full)'!$B$6:$AE$383,10,0)</f>
        <v>22000</v>
      </c>
      <c r="L17" s="68">
        <f t="shared" si="48"/>
        <v>13200</v>
      </c>
      <c r="M17" s="68">
        <f t="shared" si="49"/>
        <v>6600</v>
      </c>
      <c r="N17" s="68">
        <f t="shared" si="50"/>
        <v>1320</v>
      </c>
      <c r="O17" s="68">
        <f t="shared" si="51"/>
        <v>880</v>
      </c>
      <c r="P17" s="69"/>
      <c r="Q17" s="70">
        <f t="shared" si="52"/>
        <v>22000</v>
      </c>
      <c r="R17" s="70">
        <f>VLOOKUP(B17,'Salary -Dec-2024 (Full)'!$B$6:$AE$383,17,0)</f>
        <v>14903</v>
      </c>
      <c r="S17" s="192">
        <f>VLOOKUP(B17,'Salary -Dec-2024 (Full)'!$B$6:$AE$383,18,0)</f>
        <v>0</v>
      </c>
      <c r="T17" s="192">
        <f>VLOOKUP(B17,'Salary -Dec-2024 (Full)'!$B$6:$AE$383,19,0)</f>
        <v>0</v>
      </c>
      <c r="U17" s="337">
        <f>VLOOKUP(B17,'Salary -Dec-2024 (Full)'!$B$6:$AE$383,20,0)</f>
        <v>0</v>
      </c>
      <c r="V17" s="71">
        <f t="shared" si="53"/>
        <v>14903</v>
      </c>
      <c r="W17" s="192">
        <f>VLOOKUP(B17,'Salary -Dec-2024 (Full)'!$B$6:$AE$383,22,0)</f>
        <v>0</v>
      </c>
      <c r="X17" s="192">
        <f>VLOOKUP(B17,'Salary -Dec-2024 (Full)'!$B$6:$AE$383,23,0)</f>
        <v>0</v>
      </c>
      <c r="Y17" s="337">
        <f>VLOOKUP(B17,'Salary -Dec-2024 (Full)'!$B$6:$AE$383,24,0)</f>
        <v>0</v>
      </c>
      <c r="Z17" s="192">
        <f>VLOOKUP(B17,'Salary -Dec-2024 (Full)'!$B$6:$AE$383,25,0)</f>
        <v>0</v>
      </c>
      <c r="AA17" s="192">
        <f>VLOOKUP(B17,'Salary -Dec-2024 (Full)'!$B$6:$AE$383,26,0)</f>
        <v>0</v>
      </c>
      <c r="AB17" s="377">
        <f t="shared" si="54"/>
        <v>0</v>
      </c>
      <c r="AC17" s="71">
        <f t="shared" si="55"/>
        <v>14903</v>
      </c>
      <c r="AD17" s="346" t="str">
        <f>VLOOKUP(B17,'Salary -Dec-2024 (Full)'!$B$6:$AE$383,29,0)</f>
        <v>Bank</v>
      </c>
      <c r="AE17" s="346" t="str">
        <f>VLOOKUP(B17,'Salary -Dec-2024 (Full)'!$B$6:$AE$2853,30,0)</f>
        <v>103.103.1420228</v>
      </c>
      <c r="AH17" s="183"/>
      <c r="AI17" s="320"/>
    </row>
    <row r="18" spans="1:35" s="61" customFormat="1" ht="21" customHeight="1">
      <c r="A18" s="62">
        <v>8</v>
      </c>
      <c r="B18" s="63" t="s">
        <v>1858</v>
      </c>
      <c r="C18" s="64" t="str">
        <f>VLOOKUP(B18,'Salary -Dec-2024 (Full)'!$B$8:$AE$381,2,0)</f>
        <v>Md Fefdwsh Alam</v>
      </c>
      <c r="D18" s="115" t="str">
        <f>VLOOKUP(B18,'Salary -Dec-2024 (Full)'!$B$8:$AE$381,3,0)</f>
        <v>Office Assistant</v>
      </c>
      <c r="E18" s="65" t="str">
        <f>VLOOKUP(B18,'Salary -Dec-2024 (Full)'!$B$8:$AE$381,4,0)</f>
        <v>Admin</v>
      </c>
      <c r="F18" s="265">
        <f>VLOOKUP(B18,'Salary -Dec-2024 (Full)'!$B$8:$AE$381,5,0)</f>
        <v>45627</v>
      </c>
      <c r="G18" s="66">
        <f>VLOOKUP(B18,'Salary -Dec-2024 (Full)'!$B$8:$AE$381,6,0)</f>
        <v>31</v>
      </c>
      <c r="H18" s="67">
        <f>VLOOKUP(B18,'Salary -Dec-2024 (Full)'!$B$8:$AE$381,7,0)</f>
        <v>0</v>
      </c>
      <c r="I18" s="66">
        <f t="shared" si="46"/>
        <v>31</v>
      </c>
      <c r="J18" s="67">
        <f t="shared" si="47"/>
        <v>516.12903225806451</v>
      </c>
      <c r="K18" s="192">
        <f>VLOOKUP(B18,'Salary -Dec-2024 (Full)'!$B$6:$AE$383,10,0)</f>
        <v>16000</v>
      </c>
      <c r="L18" s="68">
        <f t="shared" si="48"/>
        <v>9600</v>
      </c>
      <c r="M18" s="68">
        <f t="shared" si="49"/>
        <v>4800</v>
      </c>
      <c r="N18" s="68">
        <f t="shared" si="50"/>
        <v>960</v>
      </c>
      <c r="O18" s="68">
        <f t="shared" si="51"/>
        <v>640</v>
      </c>
      <c r="P18" s="69"/>
      <c r="Q18" s="70">
        <f t="shared" si="52"/>
        <v>16000</v>
      </c>
      <c r="R18" s="70">
        <f>VLOOKUP(B18,'Salary -Dec-2024 (Full)'!$B$6:$AE$383,17,0)</f>
        <v>16000</v>
      </c>
      <c r="S18" s="192">
        <f>VLOOKUP(B18,'Salary -Dec-2024 (Full)'!$B$6:$AE$383,18,0)</f>
        <v>0</v>
      </c>
      <c r="T18" s="192">
        <f>VLOOKUP(B18,'Salary -Dec-2024 (Full)'!$B$6:$AE$383,19,0)</f>
        <v>0</v>
      </c>
      <c r="U18" s="337">
        <f>VLOOKUP(B18,'Salary -Dec-2024 (Full)'!$B$6:$AE$383,20,0)</f>
        <v>0</v>
      </c>
      <c r="V18" s="71">
        <f t="shared" si="53"/>
        <v>16000</v>
      </c>
      <c r="W18" s="192">
        <f>VLOOKUP(B18,'Salary -Dec-2024 (Full)'!$B$6:$AE$383,22,0)</f>
        <v>0</v>
      </c>
      <c r="X18" s="192">
        <f>VLOOKUP(B18,'Salary -Dec-2024 (Full)'!$B$6:$AE$383,23,0)</f>
        <v>0</v>
      </c>
      <c r="Y18" s="337">
        <f>VLOOKUP(B18,'Salary -Dec-2024 (Full)'!$B$6:$AE$383,24,0)</f>
        <v>0</v>
      </c>
      <c r="Z18" s="192">
        <f>VLOOKUP(B18,'Salary -Dec-2024 (Full)'!$B$6:$AE$383,25,0)</f>
        <v>0</v>
      </c>
      <c r="AA18" s="192">
        <f>VLOOKUP(B18,'Salary -Dec-2024 (Full)'!$B$6:$AE$383,26,0)</f>
        <v>0</v>
      </c>
      <c r="AB18" s="377">
        <f t="shared" si="54"/>
        <v>0</v>
      </c>
      <c r="AC18" s="71">
        <f t="shared" si="55"/>
        <v>16000</v>
      </c>
      <c r="AD18" s="346" t="str">
        <f>VLOOKUP(B18,'Salary -Dec-2024 (Full)'!$B$6:$AE$383,29,0)</f>
        <v>Cash</v>
      </c>
      <c r="AE18" s="346">
        <f>VLOOKUP(B18,'Salary -Dec-2024 (Full)'!$B$6:$AE$2853,30,0)</f>
        <v>0</v>
      </c>
      <c r="AH18" s="183"/>
      <c r="AI18" s="320"/>
    </row>
    <row r="19" spans="1:35" s="61" customFormat="1" ht="21" customHeight="1">
      <c r="A19" s="62">
        <v>9</v>
      </c>
      <c r="B19" s="63" t="s">
        <v>1860</v>
      </c>
      <c r="C19" s="64" t="str">
        <f>VLOOKUP(B19,'Salary -Dec-2024 (Full)'!$B$8:$AE$381,2,0)</f>
        <v>Md Sakil Hasan</v>
      </c>
      <c r="D19" s="115" t="str">
        <f>VLOOKUP(B19,'Salary -Dec-2024 (Full)'!$B$8:$AE$381,3,0)</f>
        <v>Electrician</v>
      </c>
      <c r="E19" s="65" t="str">
        <f>VLOOKUP(B19,'Salary -Dec-2024 (Full)'!$B$8:$AE$381,4,0)</f>
        <v>Admin</v>
      </c>
      <c r="F19" s="265">
        <f>VLOOKUP(B19,'Salary -Dec-2024 (Full)'!$B$8:$AE$381,5,0)</f>
        <v>45627</v>
      </c>
      <c r="G19" s="66">
        <f>VLOOKUP(B19,'Salary -Dec-2024 (Full)'!$B$8:$AE$381,6,0)</f>
        <v>31</v>
      </c>
      <c r="H19" s="67">
        <f>VLOOKUP(B19,'Salary -Dec-2024 (Full)'!$B$8:$AE$381,7,0)</f>
        <v>0</v>
      </c>
      <c r="I19" s="66">
        <f t="shared" si="46"/>
        <v>31</v>
      </c>
      <c r="J19" s="67">
        <f t="shared" si="47"/>
        <v>483.87096774193549</v>
      </c>
      <c r="K19" s="192">
        <f>VLOOKUP(B19,'Salary -Dec-2024 (Full)'!$B$6:$AE$383,10,0)</f>
        <v>15000</v>
      </c>
      <c r="L19" s="68">
        <f t="shared" si="48"/>
        <v>9000</v>
      </c>
      <c r="M19" s="68">
        <f t="shared" si="49"/>
        <v>4500</v>
      </c>
      <c r="N19" s="68">
        <f t="shared" si="50"/>
        <v>900</v>
      </c>
      <c r="O19" s="68">
        <f t="shared" si="51"/>
        <v>600</v>
      </c>
      <c r="P19" s="69"/>
      <c r="Q19" s="70">
        <f t="shared" si="52"/>
        <v>15000</v>
      </c>
      <c r="R19" s="70">
        <f>VLOOKUP(B19,'Salary -Dec-2024 (Full)'!$B$6:$AE$383,17,0)</f>
        <v>15000</v>
      </c>
      <c r="S19" s="192">
        <f>VLOOKUP(B19,'Salary -Dec-2024 (Full)'!$B$6:$AE$383,18,0)</f>
        <v>0</v>
      </c>
      <c r="T19" s="192">
        <f>VLOOKUP(B19,'Salary -Dec-2024 (Full)'!$B$6:$AE$383,19,0)</f>
        <v>0</v>
      </c>
      <c r="U19" s="337">
        <f>VLOOKUP(B19,'Salary -Dec-2024 (Full)'!$B$6:$AE$383,20,0)</f>
        <v>0</v>
      </c>
      <c r="V19" s="71">
        <f t="shared" si="53"/>
        <v>15000</v>
      </c>
      <c r="W19" s="192">
        <f>VLOOKUP(B19,'Salary -Dec-2024 (Full)'!$B$6:$AE$383,22,0)</f>
        <v>0</v>
      </c>
      <c r="X19" s="192">
        <f>VLOOKUP(B19,'Salary -Dec-2024 (Full)'!$B$6:$AE$383,23,0)</f>
        <v>0</v>
      </c>
      <c r="Y19" s="337">
        <f>VLOOKUP(B19,'Salary -Dec-2024 (Full)'!$B$6:$AE$383,24,0)</f>
        <v>0</v>
      </c>
      <c r="Z19" s="192">
        <f>VLOOKUP(B19,'Salary -Dec-2024 (Full)'!$B$6:$AE$383,25,0)</f>
        <v>0</v>
      </c>
      <c r="AA19" s="192">
        <f>VLOOKUP(B19,'Salary -Dec-2024 (Full)'!$B$6:$AE$383,26,0)</f>
        <v>0</v>
      </c>
      <c r="AB19" s="377">
        <f t="shared" si="54"/>
        <v>0</v>
      </c>
      <c r="AC19" s="71">
        <f t="shared" si="55"/>
        <v>15000</v>
      </c>
      <c r="AD19" s="346" t="str">
        <f>VLOOKUP(B19,'Salary -Dec-2024 (Full)'!$B$6:$AE$383,29,0)</f>
        <v>Cash</v>
      </c>
      <c r="AE19" s="346">
        <f>VLOOKUP(B19,'Salary -Dec-2024 (Full)'!$B$6:$AE$2853,30,0)</f>
        <v>0</v>
      </c>
      <c r="AH19" s="183"/>
      <c r="AI19" s="320"/>
    </row>
    <row r="20" spans="1:35" s="61" customFormat="1" ht="21" customHeight="1">
      <c r="A20" s="62">
        <v>10</v>
      </c>
      <c r="B20" s="63" t="s">
        <v>1863</v>
      </c>
      <c r="C20" s="64" t="str">
        <f>VLOOKUP(B20,'Salary -Dec-2024 (Full)'!$B$8:$AE$381,2,0)</f>
        <v>Md Rabiul Islam</v>
      </c>
      <c r="D20" s="115" t="str">
        <f>VLOOKUP(B20,'Salary -Dec-2024 (Full)'!$B$8:$AE$381,3,0)</f>
        <v>Security Guard</v>
      </c>
      <c r="E20" s="65" t="str">
        <f>VLOOKUP(B20,'Salary -Dec-2024 (Full)'!$B$8:$AE$381,4,0)</f>
        <v>Admin</v>
      </c>
      <c r="F20" s="265">
        <f>VLOOKUP(B20,'Salary -Dec-2024 (Full)'!$B$8:$AE$381,5,0)</f>
        <v>45627</v>
      </c>
      <c r="G20" s="66">
        <f>VLOOKUP(B20,'Salary -Dec-2024 (Full)'!$B$8:$AE$381,6,0)</f>
        <v>31</v>
      </c>
      <c r="H20" s="67">
        <f>VLOOKUP(B20,'Salary -Dec-2024 (Full)'!$B$8:$AE$381,7,0)</f>
        <v>0</v>
      </c>
      <c r="I20" s="66">
        <f t="shared" si="46"/>
        <v>31</v>
      </c>
      <c r="J20" s="67">
        <f t="shared" si="47"/>
        <v>451.61290322580646</v>
      </c>
      <c r="K20" s="192">
        <f>VLOOKUP(B20,'Salary -Dec-2024 (Full)'!$B$6:$AE$383,10,0)</f>
        <v>14000</v>
      </c>
      <c r="L20" s="68">
        <f t="shared" si="48"/>
        <v>8400</v>
      </c>
      <c r="M20" s="68">
        <f t="shared" si="49"/>
        <v>4200</v>
      </c>
      <c r="N20" s="68">
        <f t="shared" si="50"/>
        <v>840</v>
      </c>
      <c r="O20" s="68">
        <f t="shared" si="51"/>
        <v>560</v>
      </c>
      <c r="P20" s="69"/>
      <c r="Q20" s="70">
        <f t="shared" si="52"/>
        <v>14000</v>
      </c>
      <c r="R20" s="70">
        <f>VLOOKUP(B20,'Salary -Dec-2024 (Full)'!$B$6:$AE$383,17,0)</f>
        <v>14000</v>
      </c>
      <c r="S20" s="192">
        <f>VLOOKUP(B20,'Salary -Dec-2024 (Full)'!$B$6:$AE$383,18,0)</f>
        <v>0</v>
      </c>
      <c r="T20" s="192">
        <f>VLOOKUP(B20,'Salary -Dec-2024 (Full)'!$B$6:$AE$383,19,0)</f>
        <v>0</v>
      </c>
      <c r="U20" s="337">
        <f>VLOOKUP(B20,'Salary -Dec-2024 (Full)'!$B$6:$AE$383,20,0)</f>
        <v>0</v>
      </c>
      <c r="V20" s="71">
        <f t="shared" si="53"/>
        <v>14000</v>
      </c>
      <c r="W20" s="192">
        <f>VLOOKUP(B20,'Salary -Dec-2024 (Full)'!$B$6:$AE$383,22,0)</f>
        <v>0</v>
      </c>
      <c r="X20" s="192">
        <f>VLOOKUP(B20,'Salary -Dec-2024 (Full)'!$B$6:$AE$383,23,0)</f>
        <v>0</v>
      </c>
      <c r="Y20" s="337">
        <f>VLOOKUP(B20,'Salary -Dec-2024 (Full)'!$B$6:$AE$383,24,0)</f>
        <v>0</v>
      </c>
      <c r="Z20" s="192">
        <f>VLOOKUP(B20,'Salary -Dec-2024 (Full)'!$B$6:$AE$383,25,0)</f>
        <v>0</v>
      </c>
      <c r="AA20" s="192">
        <f>VLOOKUP(B20,'Salary -Dec-2024 (Full)'!$B$6:$AE$383,26,0)</f>
        <v>0</v>
      </c>
      <c r="AB20" s="377">
        <f t="shared" si="54"/>
        <v>0</v>
      </c>
      <c r="AC20" s="71">
        <f t="shared" si="55"/>
        <v>14000</v>
      </c>
      <c r="AD20" s="346" t="str">
        <f>VLOOKUP(B20,'Salary -Dec-2024 (Full)'!$B$6:$AE$383,29,0)</f>
        <v>Cash</v>
      </c>
      <c r="AE20" s="346">
        <f>VLOOKUP(B20,'Salary -Dec-2024 (Full)'!$B$6:$AE$2853,30,0)</f>
        <v>0</v>
      </c>
      <c r="AH20" s="183"/>
      <c r="AI20" s="320"/>
    </row>
    <row r="21" spans="1:35" s="47" customFormat="1" ht="16.5">
      <c r="A21" s="1031"/>
      <c r="B21" s="1032"/>
      <c r="C21" s="1033"/>
      <c r="D21" s="1034"/>
      <c r="E21" s="1040"/>
      <c r="F21" s="1036"/>
      <c r="G21" s="1036"/>
      <c r="H21" s="1036"/>
      <c r="I21" s="1036"/>
      <c r="J21" s="1036"/>
      <c r="K21" s="1037">
        <f>SUM(K11:K20)</f>
        <v>302500</v>
      </c>
      <c r="L21" s="1037">
        <f t="shared" ref="L21:AC21" si="56">SUM(L11:L20)</f>
        <v>181500</v>
      </c>
      <c r="M21" s="1037">
        <f t="shared" si="56"/>
        <v>90750</v>
      </c>
      <c r="N21" s="1037">
        <f t="shared" si="56"/>
        <v>18150</v>
      </c>
      <c r="O21" s="1037">
        <f t="shared" si="56"/>
        <v>12100</v>
      </c>
      <c r="P21" s="1037">
        <f t="shared" si="56"/>
        <v>0</v>
      </c>
      <c r="Q21" s="1037">
        <f t="shared" si="56"/>
        <v>302500</v>
      </c>
      <c r="R21" s="1037">
        <f t="shared" si="56"/>
        <v>295403</v>
      </c>
      <c r="S21" s="1037">
        <f t="shared" si="56"/>
        <v>0</v>
      </c>
      <c r="T21" s="1037">
        <f t="shared" si="56"/>
        <v>0</v>
      </c>
      <c r="U21" s="1037">
        <f t="shared" si="56"/>
        <v>0</v>
      </c>
      <c r="V21" s="1037">
        <f t="shared" si="56"/>
        <v>295403</v>
      </c>
      <c r="W21" s="1037">
        <f t="shared" si="56"/>
        <v>1587</v>
      </c>
      <c r="X21" s="1037">
        <f t="shared" si="56"/>
        <v>0</v>
      </c>
      <c r="Y21" s="1037">
        <f t="shared" si="56"/>
        <v>2490</v>
      </c>
      <c r="Z21" s="1037">
        <f t="shared" si="56"/>
        <v>0</v>
      </c>
      <c r="AA21" s="1037">
        <f t="shared" si="56"/>
        <v>0</v>
      </c>
      <c r="AB21" s="1037">
        <f t="shared" si="56"/>
        <v>4077</v>
      </c>
      <c r="AC21" s="1037">
        <f t="shared" si="56"/>
        <v>291326</v>
      </c>
      <c r="AD21" s="1037"/>
      <c r="AE21" s="1039"/>
      <c r="AG21" s="61"/>
      <c r="AH21" s="198"/>
    </row>
    <row r="22" spans="1:35" s="130" customFormat="1" ht="16.5">
      <c r="A22" s="89" t="s">
        <v>1357</v>
      </c>
      <c r="B22" s="121"/>
      <c r="C22" s="122"/>
      <c r="D22" s="143"/>
      <c r="E22" s="121"/>
      <c r="F22" s="363"/>
      <c r="G22" s="123"/>
      <c r="H22" s="360"/>
      <c r="I22" s="123"/>
      <c r="J22" s="124"/>
      <c r="K22" s="361"/>
      <c r="L22" s="361"/>
      <c r="M22" s="361"/>
      <c r="N22" s="361"/>
      <c r="O22" s="361"/>
      <c r="P22" s="361"/>
      <c r="Q22" s="361"/>
      <c r="R22" s="361"/>
      <c r="S22" s="361"/>
      <c r="T22" s="361"/>
      <c r="U22" s="361"/>
      <c r="V22" s="469"/>
      <c r="W22" s="469"/>
      <c r="X22" s="470"/>
      <c r="Y22" s="471"/>
      <c r="Z22" s="470"/>
      <c r="AA22" s="470"/>
      <c r="AB22" s="470"/>
      <c r="AC22" s="472"/>
      <c r="AD22" s="128"/>
      <c r="AE22" s="129"/>
      <c r="AG22" s="61"/>
      <c r="AH22" s="198"/>
    </row>
    <row r="23" spans="1:35" s="61" customFormat="1" ht="23.25" customHeight="1">
      <c r="A23" s="48">
        <v>1</v>
      </c>
      <c r="B23" s="49" t="s">
        <v>362</v>
      </c>
      <c r="C23" s="50" t="str">
        <f>VLOOKUP(B23,'Salary -Dec-2024 (Full)'!$B$8:$AE$381,2,0)</f>
        <v>Md. Mohidul Islam Chowdhury</v>
      </c>
      <c r="D23" s="279" t="str">
        <f>VLOOKUP(B23,'Salary -Dec-2024 (Full)'!$B$8:$AE$381,3,0)</f>
        <v>COO</v>
      </c>
      <c r="E23" s="51" t="str">
        <f>VLOOKUP(B23,'Salary -Dec-2024 (Full)'!$B$8:$AE$381,4,0)</f>
        <v xml:space="preserve"> Fertilizer</v>
      </c>
      <c r="F23" s="288">
        <f>VLOOKUP(B23,'Salary -Dec-2024 (Full)'!$B$8:$AE$381,5,0)</f>
        <v>44555</v>
      </c>
      <c r="G23" s="52">
        <f>VLOOKUP(B23,'Salary -Dec-2024 (Full)'!$B$8:$AE$381,6,0)</f>
        <v>31</v>
      </c>
      <c r="H23" s="53">
        <f>VLOOKUP(B23,'Salary -Dec-2024 (Full)'!$B$8:$AE$381,7,0)</f>
        <v>0</v>
      </c>
      <c r="I23" s="52">
        <f t="shared" ref="I23" si="57">G23-H23</f>
        <v>31</v>
      </c>
      <c r="J23" s="53">
        <f t="shared" ref="J23" si="58">Q23/G23</f>
        <v>4451.6129032258068</v>
      </c>
      <c r="K23" s="58">
        <f>VLOOKUP(B23,'Salary -Dec-2024 (Full)'!$B$6:$AE$383,10,0)</f>
        <v>138000</v>
      </c>
      <c r="L23" s="54">
        <f t="shared" ref="L23" si="59">K23*60%</f>
        <v>82800</v>
      </c>
      <c r="M23" s="54">
        <f t="shared" ref="M23" si="60">K23*30%</f>
        <v>41400</v>
      </c>
      <c r="N23" s="54">
        <f t="shared" ref="N23" si="61">K23*6%</f>
        <v>8280</v>
      </c>
      <c r="O23" s="54">
        <f t="shared" ref="O23" si="62">K23*4%</f>
        <v>5520</v>
      </c>
      <c r="P23" s="55"/>
      <c r="Q23" s="56">
        <f t="shared" ref="Q23" si="63">SUM(L23:P23)</f>
        <v>138000</v>
      </c>
      <c r="R23" s="56">
        <f>VLOOKUP(B23,'Salary -Dec-2024 (Full)'!$B$6:$AE$383,17,0)</f>
        <v>138000</v>
      </c>
      <c r="S23" s="58">
        <f>VLOOKUP(B23,'Salary -Dec-2024 (Full)'!$B$6:$AE$383,18,0)</f>
        <v>0</v>
      </c>
      <c r="T23" s="58">
        <f>VLOOKUP(B23,'Salary -Dec-2024 (Full)'!$B$6:$AE$383,19,0)</f>
        <v>0</v>
      </c>
      <c r="U23" s="393">
        <f>VLOOKUP(B23,'Salary -Dec-2024 (Full)'!$B$6:$AE$383,20,0)</f>
        <v>0</v>
      </c>
      <c r="V23" s="57">
        <f t="shared" ref="V23" si="64">SUM(R23:U23)</f>
        <v>138000</v>
      </c>
      <c r="W23" s="58">
        <f>VLOOKUP(B23,'Salary -Dec-2024 (Full)'!$B$6:$AE$383,22,0)</f>
        <v>7348</v>
      </c>
      <c r="X23" s="58">
        <f>VLOOKUP(B23,'Salary -Dec-2024 (Full)'!$B$6:$AE$383,23,0)</f>
        <v>0</v>
      </c>
      <c r="Y23" s="393">
        <f>VLOOKUP(B23,'Salary -Dec-2024 (Full)'!$B$6:$AE$383,24,0)</f>
        <v>4140</v>
      </c>
      <c r="Z23" s="58">
        <f>VLOOKUP(B23,'Salary -Dec-2024 (Full)'!$B$6:$AE$383,25,0)</f>
        <v>0</v>
      </c>
      <c r="AA23" s="58">
        <f>VLOOKUP(B23,'Salary -Dec-2024 (Full)'!$B$6:$AE$383,26,0)</f>
        <v>0</v>
      </c>
      <c r="AB23" s="588">
        <f>SUM(W23:AA23)</f>
        <v>11488</v>
      </c>
      <c r="AC23" s="57">
        <f t="shared" ref="AC23" si="65">ROUND(V23-AB23,0)</f>
        <v>126512</v>
      </c>
      <c r="AD23" s="504" t="str">
        <f>VLOOKUP(B23,'Salary -Dec-2024 (Full)'!$B$6:$AE$383,29,0)</f>
        <v>Bank</v>
      </c>
      <c r="AE23" s="504" t="str">
        <f>VLOOKUP(B23,'Salary -Dec-2024 (Full)'!$B$6:$AE$2853,30,0)</f>
        <v>116.103.0078787</v>
      </c>
      <c r="AH23" s="198"/>
    </row>
    <row r="24" spans="1:35" s="61" customFormat="1" ht="23.25" customHeight="1">
      <c r="A24" s="75">
        <v>2</v>
      </c>
      <c r="B24" s="76" t="s">
        <v>375</v>
      </c>
      <c r="C24" s="77" t="str">
        <f>VLOOKUP(B24,'Salary -Dec-2024 (Full)'!$B$8:$AE$381,2,0)</f>
        <v>Md. Junaidur Rahman</v>
      </c>
      <c r="D24" s="280" t="str">
        <f>VLOOKUP(B24,'Salary -Dec-2024 (Full)'!$B$8:$AE$381,3,0)</f>
        <v>Asst. Manager</v>
      </c>
      <c r="E24" s="78" t="str">
        <f>VLOOKUP(B24,'Salary -Dec-2024 (Full)'!$B$8:$AE$381,4,0)</f>
        <v>Fertilizer</v>
      </c>
      <c r="F24" s="488">
        <f>VLOOKUP(B24,'Salary -Dec-2024 (Full)'!$B$8:$AE$381,5,0)</f>
        <v>44805</v>
      </c>
      <c r="G24" s="79">
        <f>VLOOKUP(B24,'Salary -Dec-2024 (Full)'!$B$8:$AE$381,6,0)</f>
        <v>31</v>
      </c>
      <c r="H24" s="80">
        <f>VLOOKUP(B24,'Salary -Dec-2024 (Full)'!$B$8:$AE$381,7,0)</f>
        <v>0</v>
      </c>
      <c r="I24" s="79">
        <f t="shared" ref="I24" si="66">G24-H24</f>
        <v>31</v>
      </c>
      <c r="J24" s="80">
        <f t="shared" ref="J24" si="67">Q24/G24</f>
        <v>1129.0322580645161</v>
      </c>
      <c r="K24" s="395">
        <f>VLOOKUP(B24,'Salary -Dec-2024 (Full)'!$B$6:$AE$383,10,0)</f>
        <v>35000</v>
      </c>
      <c r="L24" s="81">
        <f t="shared" ref="L24" si="68">K24*60%</f>
        <v>21000</v>
      </c>
      <c r="M24" s="81">
        <f t="shared" ref="M24" si="69">K24*30%</f>
        <v>10500</v>
      </c>
      <c r="N24" s="81">
        <f t="shared" ref="N24" si="70">K24*6%</f>
        <v>2100</v>
      </c>
      <c r="O24" s="81">
        <f t="shared" ref="O24" si="71">K24*4%</f>
        <v>1400</v>
      </c>
      <c r="P24" s="82"/>
      <c r="Q24" s="83">
        <f t="shared" ref="Q24" si="72">SUM(L24:P24)</f>
        <v>35000</v>
      </c>
      <c r="R24" s="70">
        <f>VLOOKUP(B24,'Salary -Dec-2024 (Full)'!$B$6:$AE$383,17,0)</f>
        <v>35000</v>
      </c>
      <c r="S24" s="395">
        <f>VLOOKUP(B24,'Salary -Dec-2024 (Full)'!$B$6:$AE$383,18,0)</f>
        <v>0</v>
      </c>
      <c r="T24" s="395">
        <f>VLOOKUP(B24,'Salary -Dec-2024 (Full)'!$B$6:$AE$383,19,0)</f>
        <v>0</v>
      </c>
      <c r="U24" s="396">
        <f>VLOOKUP(B24,'Salary -Dec-2024 (Full)'!$B$6:$AE$383,20,0)</f>
        <v>0</v>
      </c>
      <c r="V24" s="84">
        <f t="shared" ref="V24" si="73">SUM(R24:U24)</f>
        <v>35000</v>
      </c>
      <c r="W24" s="395">
        <f>VLOOKUP(B24,'Salary -Dec-2024 (Full)'!$B$6:$AE$383,22,0)</f>
        <v>0</v>
      </c>
      <c r="X24" s="395">
        <f>VLOOKUP(B24,'Salary -Dec-2024 (Full)'!$B$6:$AE$383,23,0)</f>
        <v>0</v>
      </c>
      <c r="Y24" s="396">
        <f>VLOOKUP(B24,'Salary -Dec-2024 (Full)'!$B$6:$AE$383,24,0)</f>
        <v>1050</v>
      </c>
      <c r="Z24" s="395">
        <f>VLOOKUP(B24,'Salary -Dec-2024 (Full)'!$B$6:$AE$383,25,0)</f>
        <v>0</v>
      </c>
      <c r="AA24" s="395">
        <f>VLOOKUP(B24,'Salary -Dec-2024 (Full)'!$B$6:$AE$383,26,0)</f>
        <v>0</v>
      </c>
      <c r="AB24" s="768">
        <f>SUM(W24:AA24)</f>
        <v>1050</v>
      </c>
      <c r="AC24" s="84">
        <f t="shared" ref="AC24" si="74">ROUND(V24-AB24,0)</f>
        <v>33950</v>
      </c>
      <c r="AD24" s="589" t="str">
        <f>VLOOKUP(B24,'Salary -Dec-2024 (Full)'!$B$6:$AE$383,29,0)</f>
        <v>Bank</v>
      </c>
      <c r="AE24" s="589" t="str">
        <f>VLOOKUP(B24,'Salary -Dec-2024 (Full)'!$B$6:$AE$2853,30,0)</f>
        <v>103.103.1326628</v>
      </c>
      <c r="AH24" s="183"/>
      <c r="AI24" s="320"/>
    </row>
    <row r="25" spans="1:35" s="47" customFormat="1" ht="16.5">
      <c r="A25" s="1031"/>
      <c r="B25" s="1032"/>
      <c r="C25" s="1033"/>
      <c r="D25" s="1034"/>
      <c r="E25" s="1040"/>
      <c r="F25" s="1036"/>
      <c r="G25" s="1036"/>
      <c r="H25" s="1036"/>
      <c r="I25" s="1036"/>
      <c r="J25" s="1036"/>
      <c r="K25" s="1037">
        <f t="shared" ref="K25:AC25" si="75">SUM(K23:K24)</f>
        <v>173000</v>
      </c>
      <c r="L25" s="1037">
        <f t="shared" si="75"/>
        <v>103800</v>
      </c>
      <c r="M25" s="1037">
        <f t="shared" si="75"/>
        <v>51900</v>
      </c>
      <c r="N25" s="1037">
        <f t="shared" si="75"/>
        <v>10380</v>
      </c>
      <c r="O25" s="1037">
        <f t="shared" si="75"/>
        <v>6920</v>
      </c>
      <c r="P25" s="1037">
        <f t="shared" si="75"/>
        <v>0</v>
      </c>
      <c r="Q25" s="1037">
        <f t="shared" si="75"/>
        <v>173000</v>
      </c>
      <c r="R25" s="1037">
        <f t="shared" si="75"/>
        <v>173000</v>
      </c>
      <c r="S25" s="1037">
        <f t="shared" si="75"/>
        <v>0</v>
      </c>
      <c r="T25" s="1037">
        <f t="shared" si="75"/>
        <v>0</v>
      </c>
      <c r="U25" s="1037">
        <f t="shared" si="75"/>
        <v>0</v>
      </c>
      <c r="V25" s="1037">
        <f t="shared" si="75"/>
        <v>173000</v>
      </c>
      <c r="W25" s="1037">
        <f t="shared" si="75"/>
        <v>7348</v>
      </c>
      <c r="X25" s="1037">
        <f t="shared" si="75"/>
        <v>0</v>
      </c>
      <c r="Y25" s="1037">
        <f t="shared" si="75"/>
        <v>5190</v>
      </c>
      <c r="Z25" s="1037">
        <f t="shared" si="75"/>
        <v>0</v>
      </c>
      <c r="AA25" s="1037">
        <f t="shared" si="75"/>
        <v>0</v>
      </c>
      <c r="AB25" s="1037">
        <f t="shared" si="75"/>
        <v>12538</v>
      </c>
      <c r="AC25" s="1037">
        <f t="shared" si="75"/>
        <v>160462</v>
      </c>
      <c r="AD25" s="1037"/>
      <c r="AE25" s="1039"/>
      <c r="AG25" s="61"/>
      <c r="AH25" s="198"/>
    </row>
    <row r="26" spans="1:35" s="47" customFormat="1" ht="15.75">
      <c r="A26" s="347" t="s">
        <v>1122</v>
      </c>
      <c r="B26" s="268"/>
      <c r="C26" s="268"/>
      <c r="D26" s="348"/>
      <c r="E26" s="268"/>
      <c r="F26" s="268"/>
      <c r="G26" s="268"/>
      <c r="H26" s="267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8"/>
      <c r="AD26" s="268"/>
      <c r="AE26" s="557"/>
      <c r="AG26" s="61"/>
      <c r="AH26" s="198"/>
      <c r="AI26" s="320"/>
    </row>
    <row r="27" spans="1:35" s="61" customFormat="1" ht="20.25" customHeight="1">
      <c r="A27" s="771">
        <v>1</v>
      </c>
      <c r="B27" s="405" t="s">
        <v>221</v>
      </c>
      <c r="C27" s="64" t="str">
        <f>VLOOKUP(B27,'Salary -Dec-2024 (Full)'!$B$8:$AE$381,2,0)</f>
        <v>Md. Nazmul Haque</v>
      </c>
      <c r="D27" s="115" t="str">
        <f>VLOOKUP(B27,'Salary -Dec-2024 (Full)'!$B$8:$AE$381,3,0)</f>
        <v>Sr. Territory Manager</v>
      </c>
      <c r="E27" s="65" t="str">
        <f>VLOOKUP(B27,'Salary -Dec-2024 (Full)'!$B$8:$AE$381,4,0)</f>
        <v>S&amp;M</v>
      </c>
      <c r="F27" s="265">
        <f>VLOOKUP(B27,'Salary -Dec-2024 (Full)'!$B$8:$AE$381,5,0)</f>
        <v>44625</v>
      </c>
      <c r="G27" s="66">
        <f>VLOOKUP(B27,'Salary -Dec-2024 (Full)'!$B$8:$AE$381,6,0)</f>
        <v>31</v>
      </c>
      <c r="H27" s="67">
        <f>VLOOKUP(B27,'Salary -Dec-2024 (Full)'!$B$8:$AE$381,7,0)</f>
        <v>0</v>
      </c>
      <c r="I27" s="66">
        <f t="shared" ref="I27" si="76">G27-H27</f>
        <v>31</v>
      </c>
      <c r="J27" s="67">
        <f>Q27/G27</f>
        <v>1354.8387096774193</v>
      </c>
      <c r="K27" s="192">
        <f>VLOOKUP(B27,'Salary -Dec-2024 (Full)'!$B$6:$AE$383,10,0)</f>
        <v>42000</v>
      </c>
      <c r="L27" s="68">
        <f>K27*60%</f>
        <v>25200</v>
      </c>
      <c r="M27" s="68">
        <f t="shared" ref="M27" si="77">K27*30%</f>
        <v>12600</v>
      </c>
      <c r="N27" s="68">
        <f t="shared" ref="N27" si="78">K27*6%</f>
        <v>2520</v>
      </c>
      <c r="O27" s="68">
        <f t="shared" ref="O27" si="79">K27*4%</f>
        <v>1680</v>
      </c>
      <c r="P27" s="69"/>
      <c r="Q27" s="70">
        <f>SUM(L27:P27)</f>
        <v>42000</v>
      </c>
      <c r="R27" s="56">
        <f>VLOOKUP(B27,'Salary -Dec-2024 (Full)'!$B$6:$AE$383,17,0)</f>
        <v>42000</v>
      </c>
      <c r="S27" s="192">
        <f>VLOOKUP(B27,'Salary -Dec-2024 (Full)'!$B$6:$AE$383,18,0)</f>
        <v>0</v>
      </c>
      <c r="T27" s="192">
        <f>VLOOKUP(B27,'Salary -Dec-2024 (Full)'!$B$6:$AE$383,19,0)</f>
        <v>0</v>
      </c>
      <c r="U27" s="337">
        <f>VLOOKUP(B27,'Salary -Dec-2024 (Full)'!$B$6:$AE$383,20,0)</f>
        <v>0</v>
      </c>
      <c r="V27" s="71">
        <f>SUM(R27:U27)</f>
        <v>42000</v>
      </c>
      <c r="W27" s="192">
        <f>VLOOKUP(B27,'Salary -Dec-2024 (Full)'!$B$6:$AE$383,22,0)</f>
        <v>715</v>
      </c>
      <c r="X27" s="192">
        <f>VLOOKUP(B27,'Salary -Dec-2024 (Full)'!$B$6:$AE$383,23,0)</f>
        <v>0</v>
      </c>
      <c r="Y27" s="337">
        <f>VLOOKUP(B27,'Salary -Dec-2024 (Full)'!$B$6:$AE$383,24,0)</f>
        <v>1260</v>
      </c>
      <c r="Z27" s="192">
        <f>VLOOKUP(B27,'Salary -Dec-2024 (Full)'!$B$6:$AE$383,25,0)</f>
        <v>2160</v>
      </c>
      <c r="AA27" s="192">
        <f>VLOOKUP(B27,'Salary -Dec-2024 (Full)'!$B$6:$AE$383,26,0)</f>
        <v>0</v>
      </c>
      <c r="AB27" s="377">
        <f>SUM(W27:AA27)</f>
        <v>4135</v>
      </c>
      <c r="AC27" s="71">
        <f t="shared" ref="AC27" si="80">ROUND(V27-AB27,0)</f>
        <v>37865</v>
      </c>
      <c r="AD27" s="346" t="str">
        <f>VLOOKUP(B27,'Salary -Dec-2024 (Full)'!$B$6:$AE$383,29,0)</f>
        <v>Bank</v>
      </c>
      <c r="AE27" s="346" t="str">
        <f>VLOOKUP(B27,'Salary -Dec-2024 (Full)'!$B$6:$AE$2853,30,0)</f>
        <v>125.158.0032322</v>
      </c>
      <c r="AH27" s="183"/>
      <c r="AI27" s="320"/>
    </row>
    <row r="28" spans="1:35" s="61" customFormat="1" ht="24" customHeight="1">
      <c r="A28" s="771">
        <v>2</v>
      </c>
      <c r="B28" s="405" t="s">
        <v>216</v>
      </c>
      <c r="C28" s="64" t="str">
        <f>VLOOKUP(B28,'Salary -Dec-2024 (Full)'!$B$8:$AE$381,2,0)</f>
        <v>Syed Azgar Ali</v>
      </c>
      <c r="D28" s="115" t="str">
        <f>VLOOKUP(B28,'Salary -Dec-2024 (Full)'!$B$8:$AE$381,3,0)</f>
        <v>Assistant Territory Manager</v>
      </c>
      <c r="E28" s="65" t="str">
        <f>VLOOKUP(B28,'Salary -Dec-2024 (Full)'!$B$8:$AE$381,4,0)</f>
        <v>S&amp;M</v>
      </c>
      <c r="F28" s="265">
        <f>VLOOKUP(B28,'Salary -Dec-2024 (Full)'!$B$8:$AE$381,5,0)</f>
        <v>44626</v>
      </c>
      <c r="G28" s="66">
        <f>VLOOKUP(B28,'Salary -Dec-2024 (Full)'!$B$8:$AE$381,6,0)</f>
        <v>31</v>
      </c>
      <c r="H28" s="67">
        <f>VLOOKUP(B28,'Salary -Dec-2024 (Full)'!$B$8:$AE$381,7,0)</f>
        <v>0</v>
      </c>
      <c r="I28" s="66">
        <f t="shared" ref="I28" si="81">G28-H28</f>
        <v>31</v>
      </c>
      <c r="J28" s="67">
        <f>Q28/G28</f>
        <v>1516.1290322580646</v>
      </c>
      <c r="K28" s="192">
        <f>VLOOKUP(B28,'Salary -Dec-2024 (Full)'!$B$6:$AE$383,10,0)</f>
        <v>47000</v>
      </c>
      <c r="L28" s="68">
        <f>K28*60%</f>
        <v>28200</v>
      </c>
      <c r="M28" s="68">
        <f t="shared" ref="M28" si="82">K28*30%</f>
        <v>14100</v>
      </c>
      <c r="N28" s="68">
        <f t="shared" ref="N28" si="83">K28*6%</f>
        <v>2820</v>
      </c>
      <c r="O28" s="68">
        <f t="shared" ref="O28" si="84">K28*4%</f>
        <v>1880</v>
      </c>
      <c r="P28" s="69"/>
      <c r="Q28" s="70">
        <f>SUM(L28:P28)</f>
        <v>47000</v>
      </c>
      <c r="R28" s="56">
        <f>VLOOKUP(B28,'Salary -Dec-2024 (Full)'!$B$6:$AE$383,17,0)</f>
        <v>47000</v>
      </c>
      <c r="S28" s="192">
        <f>VLOOKUP(B28,'Salary -Dec-2024 (Full)'!$B$6:$AE$383,18,0)</f>
        <v>0</v>
      </c>
      <c r="T28" s="192">
        <f>VLOOKUP(B28,'Salary -Dec-2024 (Full)'!$B$6:$AE$383,19,0)</f>
        <v>0</v>
      </c>
      <c r="U28" s="337">
        <f>VLOOKUP(B28,'Salary -Dec-2024 (Full)'!$B$6:$AE$383,20,0)</f>
        <v>0</v>
      </c>
      <c r="V28" s="71">
        <f>SUM(R28:U28)</f>
        <v>47000</v>
      </c>
      <c r="W28" s="192">
        <f>VLOOKUP(B28,'Salary -Dec-2024 (Full)'!$B$6:$AE$383,22,0)</f>
        <v>417</v>
      </c>
      <c r="X28" s="192">
        <f>VLOOKUP(B28,'Salary -Dec-2024 (Full)'!$B$6:$AE$383,23,0)</f>
        <v>0</v>
      </c>
      <c r="Y28" s="337">
        <f>VLOOKUP(B28,'Salary -Dec-2024 (Full)'!$B$6:$AE$383,24,0)</f>
        <v>1410</v>
      </c>
      <c r="Z28" s="192">
        <f>VLOOKUP(B28,'Salary -Dec-2024 (Full)'!$B$6:$AE$383,25,0)</f>
        <v>2160</v>
      </c>
      <c r="AA28" s="192">
        <f>VLOOKUP(B28,'Salary -Dec-2024 (Full)'!$B$6:$AE$383,26,0)</f>
        <v>0</v>
      </c>
      <c r="AB28" s="377">
        <f>SUM(W28:AA28)</f>
        <v>3987</v>
      </c>
      <c r="AC28" s="71">
        <f t="shared" ref="AC28" si="85">ROUND(V28-AB28,0)</f>
        <v>43013</v>
      </c>
      <c r="AD28" s="346" t="str">
        <f>VLOOKUP(B28,'Salary -Dec-2024 (Full)'!$B$6:$AE$383,29,0)</f>
        <v>Bank</v>
      </c>
      <c r="AE28" s="346" t="str">
        <f>VLOOKUP(B28,'Salary -Dec-2024 (Full)'!$B$6:$AE$2853,30,0)</f>
        <v>127.158.0050790</v>
      </c>
      <c r="AH28" s="183"/>
      <c r="AI28" s="320"/>
    </row>
    <row r="29" spans="1:35" s="61" customFormat="1" ht="24" customHeight="1">
      <c r="A29" s="771">
        <v>3</v>
      </c>
      <c r="B29" s="63" t="s">
        <v>1075</v>
      </c>
      <c r="C29" s="64" t="str">
        <f>VLOOKUP(B29,'Salary -Dec-2024 (Full)'!$B$8:$AE$381,2,0)</f>
        <v>Md Alamgir Hossain</v>
      </c>
      <c r="D29" s="115" t="str">
        <f>VLOOKUP(B29,'Salary -Dec-2024 (Full)'!$B$8:$AE$381,3,0)</f>
        <v>Sr. Territory Manager (Pesticide)</v>
      </c>
      <c r="E29" s="65" t="str">
        <f>VLOOKUP(B29,'Salary -Dec-2024 (Full)'!$B$8:$AE$381,4,0)</f>
        <v>S&amp;M</v>
      </c>
      <c r="F29" s="265">
        <f>VLOOKUP(B29,'Salary -Dec-2024 (Full)'!$B$8:$AE$381,5,0)</f>
        <v>45245</v>
      </c>
      <c r="G29" s="66">
        <f>VLOOKUP(B29,'Salary -Dec-2024 (Full)'!$B$8:$AE$381,6,0)</f>
        <v>31</v>
      </c>
      <c r="H29" s="67">
        <f>VLOOKUP(B29,'Salary -Dec-2024 (Full)'!$B$8:$AE$381,7,0)</f>
        <v>0</v>
      </c>
      <c r="I29" s="66">
        <f t="shared" ref="I29" si="86">G29-H29</f>
        <v>31</v>
      </c>
      <c r="J29" s="67">
        <f>Q29/G29</f>
        <v>1451.6129032258063</v>
      </c>
      <c r="K29" s="192">
        <f>VLOOKUP(B29,'Salary -Dec-2024 (Full)'!$B$6:$AE$383,10,0)</f>
        <v>45000</v>
      </c>
      <c r="L29" s="68">
        <f>K29*60%</f>
        <v>27000</v>
      </c>
      <c r="M29" s="68">
        <f t="shared" ref="M29" si="87">K29*30%</f>
        <v>13500</v>
      </c>
      <c r="N29" s="68">
        <f t="shared" ref="N29" si="88">K29*6%</f>
        <v>2700</v>
      </c>
      <c r="O29" s="68">
        <f t="shared" ref="O29" si="89">K29*4%</f>
        <v>1800</v>
      </c>
      <c r="P29" s="69"/>
      <c r="Q29" s="70">
        <f>SUM(L29:P29)</f>
        <v>45000</v>
      </c>
      <c r="R29" s="70">
        <f>VLOOKUP(B29,'Salary -Dec-2024 (Full)'!$B$6:$AE$383,17,0)</f>
        <v>45000</v>
      </c>
      <c r="S29" s="192">
        <f>VLOOKUP(B29,'Salary -Dec-2024 (Full)'!$B$6:$AE$383,18,0)</f>
        <v>0</v>
      </c>
      <c r="T29" s="192">
        <f>VLOOKUP(B29,'Salary -Dec-2024 (Full)'!$B$6:$AE$383,19,0)</f>
        <v>0</v>
      </c>
      <c r="U29" s="337">
        <f>VLOOKUP(B29,'Salary -Dec-2024 (Full)'!$B$6:$AE$383,20,0)</f>
        <v>0</v>
      </c>
      <c r="V29" s="71">
        <f>SUM(R29:U29)</f>
        <v>45000</v>
      </c>
      <c r="W29" s="192">
        <f>VLOOKUP(B29,'Salary -Dec-2024 (Full)'!$B$6:$AE$383,22,0)</f>
        <v>417</v>
      </c>
      <c r="X29" s="192">
        <f>VLOOKUP(B29,'Salary -Dec-2024 (Full)'!$B$6:$AE$383,23,0)</f>
        <v>0</v>
      </c>
      <c r="Y29" s="337">
        <f>VLOOKUP(B29,'Salary -Dec-2024 (Full)'!$B$6:$AE$383,24,0)</f>
        <v>1350</v>
      </c>
      <c r="Z29" s="192">
        <f>VLOOKUP(B29,'Salary -Dec-2024 (Full)'!$B$6:$AE$383,25,0)</f>
        <v>0</v>
      </c>
      <c r="AA29" s="192">
        <f>VLOOKUP(B29,'Salary -Dec-2024 (Full)'!$B$6:$AE$383,26,0)</f>
        <v>0</v>
      </c>
      <c r="AB29" s="377">
        <f>SUM(W29:AA29)</f>
        <v>1767</v>
      </c>
      <c r="AC29" s="71">
        <f t="shared" ref="AC29:AC30" si="90">ROUND(V29-AB29,0)</f>
        <v>43233</v>
      </c>
      <c r="AD29" s="346" t="str">
        <f>VLOOKUP(B29,'Salary -Dec-2024 (Full)'!$B$6:$AE$383,29,0)</f>
        <v>Bank</v>
      </c>
      <c r="AE29" s="346" t="str">
        <f>VLOOKUP(B29,'Salary -Dec-2024 (Full)'!$B$6:$AE$2853,30,0)</f>
        <v>135.157.0032987</v>
      </c>
      <c r="AH29" s="183"/>
      <c r="AI29" s="320"/>
    </row>
    <row r="30" spans="1:35" s="61" customFormat="1" ht="23.25" customHeight="1">
      <c r="A30" s="771">
        <v>4</v>
      </c>
      <c r="B30" s="63" t="s">
        <v>1109</v>
      </c>
      <c r="C30" s="64" t="str">
        <f>VLOOKUP(B30,'Salary -Dec-2024 (Full)'!$B$8:$AE$381,2,0)</f>
        <v>Md Amirul Islam</v>
      </c>
      <c r="D30" s="115" t="str">
        <f>VLOOKUP(B30,'Salary -Dec-2024 (Full)'!$B$8:$AE$381,3,0)</f>
        <v>Territory Sales officer</v>
      </c>
      <c r="E30" s="65" t="str">
        <f>VLOOKUP(B30,'Salary -Dec-2024 (Full)'!$B$8:$AE$381,4,0)</f>
        <v>Pesticide</v>
      </c>
      <c r="F30" s="265">
        <f>VLOOKUP(B30,'Salary -Dec-2024 (Full)'!$B$8:$AE$381,5,0)</f>
        <v>45262</v>
      </c>
      <c r="G30" s="66">
        <f>VLOOKUP(B30,'Salary -Dec-2024 (Full)'!$B$8:$AE$381,6,0)</f>
        <v>31</v>
      </c>
      <c r="H30" s="67">
        <f>VLOOKUP(B30,'Salary -Dec-2024 (Full)'!$B$8:$AE$381,7,0)</f>
        <v>0</v>
      </c>
      <c r="I30" s="66">
        <f t="shared" ref="I30:I31" si="91">G30-H30</f>
        <v>31</v>
      </c>
      <c r="J30" s="67">
        <f t="shared" ref="J30:J31" si="92">Q30/G30</f>
        <v>774.19354838709683</v>
      </c>
      <c r="K30" s="192">
        <f>VLOOKUP(B30,'Salary -Dec-2024 (Full)'!$B$6:$AE$383,10,0)</f>
        <v>24000</v>
      </c>
      <c r="L30" s="68">
        <f t="shared" ref="L30:L31" si="93">K30*60%</f>
        <v>14400</v>
      </c>
      <c r="M30" s="68">
        <f t="shared" ref="M30:M31" si="94">K30*30%</f>
        <v>7200</v>
      </c>
      <c r="N30" s="68">
        <f t="shared" ref="N30:N31" si="95">K30*6%</f>
        <v>1440</v>
      </c>
      <c r="O30" s="68">
        <f t="shared" ref="O30:O31" si="96">K30*4%</f>
        <v>960</v>
      </c>
      <c r="P30" s="69"/>
      <c r="Q30" s="70">
        <f t="shared" ref="Q30:Q31" si="97">SUM(L30:P30)</f>
        <v>24000</v>
      </c>
      <c r="R30" s="70">
        <f>VLOOKUP(B30,'Salary -Dec-2024 (Full)'!$B$6:$AE$383,17,0)</f>
        <v>24000</v>
      </c>
      <c r="S30" s="192">
        <f>VLOOKUP(B30,'Salary -Dec-2024 (Full)'!$B$6:$AE$383,18,0)</f>
        <v>0</v>
      </c>
      <c r="T30" s="192">
        <f>VLOOKUP(B30,'Salary -Dec-2024 (Full)'!$B$6:$AE$383,19,0)</f>
        <v>0</v>
      </c>
      <c r="U30" s="337">
        <f>VLOOKUP(B30,'Salary -Dec-2024 (Full)'!$B$6:$AE$383,20,0)</f>
        <v>0</v>
      </c>
      <c r="V30" s="71">
        <f t="shared" ref="V30:V31" si="98">SUM(R30:U30)</f>
        <v>24000</v>
      </c>
      <c r="W30" s="192">
        <f>VLOOKUP(B30,'Salary -Dec-2024 (Full)'!$B$6:$AE$383,22,0)</f>
        <v>0</v>
      </c>
      <c r="X30" s="192">
        <f>VLOOKUP(B30,'Salary -Dec-2024 (Full)'!$B$6:$AE$383,23,0)</f>
        <v>0</v>
      </c>
      <c r="Y30" s="337">
        <f>VLOOKUP(B30,'Salary -Dec-2024 (Full)'!$B$6:$AE$383,24,0)</f>
        <v>720</v>
      </c>
      <c r="Z30" s="192">
        <f>VLOOKUP(B30,'Salary -Dec-2024 (Full)'!$B$6:$AE$383,25,0)</f>
        <v>2175</v>
      </c>
      <c r="AA30" s="192">
        <f>VLOOKUP(B30,'Salary -Dec-2024 (Full)'!$B$6:$AE$383,26,0)</f>
        <v>0</v>
      </c>
      <c r="AB30" s="377">
        <f>SUM(W30:AA30)</f>
        <v>2895</v>
      </c>
      <c r="AC30" s="71">
        <f t="shared" si="90"/>
        <v>21105</v>
      </c>
      <c r="AD30" s="346" t="str">
        <f>VLOOKUP(B30,'Salary -Dec-2024 (Full)'!$B$6:$AE$383,29,0)</f>
        <v>Bank</v>
      </c>
      <c r="AE30" s="346" t="str">
        <f>VLOOKUP(B30,'Salary -Dec-2024 (Full)'!$B$6:$AE$2853,30,0)</f>
        <v>157.158.0026753</v>
      </c>
      <c r="AH30" s="183"/>
      <c r="AI30" s="320"/>
    </row>
    <row r="31" spans="1:35" s="61" customFormat="1" ht="23.25" customHeight="1">
      <c r="A31" s="771">
        <v>5</v>
      </c>
      <c r="B31" s="63" t="s">
        <v>1115</v>
      </c>
      <c r="C31" s="64" t="str">
        <f>VLOOKUP(B31,'Salary -Dec-2024 (Full)'!$B$8:$AE$381,2,0)</f>
        <v>Md Minarul Islam</v>
      </c>
      <c r="D31" s="115" t="str">
        <f>VLOOKUP(B31,'Salary -Dec-2024 (Full)'!$B$8:$AE$381,3,0)</f>
        <v>Territory Sales officer</v>
      </c>
      <c r="E31" s="65" t="str">
        <f>VLOOKUP(B31,'Salary -Dec-2024 (Full)'!$B$8:$AE$381,4,0)</f>
        <v>Pesticide</v>
      </c>
      <c r="F31" s="265">
        <f>VLOOKUP(B31,'Salary -Dec-2024 (Full)'!$B$8:$AE$381,5,0)</f>
        <v>45265</v>
      </c>
      <c r="G31" s="66">
        <f>VLOOKUP(B31,'Salary -Dec-2024 (Full)'!$B$8:$AE$381,6,0)</f>
        <v>31</v>
      </c>
      <c r="H31" s="67">
        <f>VLOOKUP(B31,'Salary -Dec-2024 (Full)'!$B$8:$AE$381,7,0)</f>
        <v>0</v>
      </c>
      <c r="I31" s="66">
        <f t="shared" si="91"/>
        <v>31</v>
      </c>
      <c r="J31" s="67">
        <f t="shared" si="92"/>
        <v>709.67741935483866</v>
      </c>
      <c r="K31" s="192">
        <f>VLOOKUP(B31,'Salary -Dec-2024 (Full)'!$B$6:$AE$383,10,0)</f>
        <v>22000</v>
      </c>
      <c r="L31" s="68">
        <f t="shared" si="93"/>
        <v>13200</v>
      </c>
      <c r="M31" s="68">
        <f t="shared" si="94"/>
        <v>6600</v>
      </c>
      <c r="N31" s="68">
        <f t="shared" si="95"/>
        <v>1320</v>
      </c>
      <c r="O31" s="68">
        <f t="shared" si="96"/>
        <v>880</v>
      </c>
      <c r="P31" s="69"/>
      <c r="Q31" s="70">
        <f t="shared" si="97"/>
        <v>22000</v>
      </c>
      <c r="R31" s="70">
        <f>VLOOKUP(B31,'Salary -Dec-2024 (Full)'!$B$6:$AE$383,17,0)</f>
        <v>22000</v>
      </c>
      <c r="S31" s="192">
        <f>VLOOKUP(B31,'Salary -Dec-2024 (Full)'!$B$6:$AE$383,18,0)</f>
        <v>0</v>
      </c>
      <c r="T31" s="192">
        <f>VLOOKUP(B31,'Salary -Dec-2024 (Full)'!$B$6:$AE$383,19,0)</f>
        <v>0</v>
      </c>
      <c r="U31" s="337">
        <f>VLOOKUP(B31,'Salary -Dec-2024 (Full)'!$B$6:$AE$383,20,0)</f>
        <v>0</v>
      </c>
      <c r="V31" s="71">
        <f t="shared" si="98"/>
        <v>22000</v>
      </c>
      <c r="W31" s="192">
        <f>VLOOKUP(B31,'Salary -Dec-2024 (Full)'!$B$6:$AE$383,22,0)</f>
        <v>0</v>
      </c>
      <c r="X31" s="192">
        <f>VLOOKUP(B31,'Salary -Dec-2024 (Full)'!$B$6:$AE$383,23,0)</f>
        <v>0</v>
      </c>
      <c r="Y31" s="337">
        <f>VLOOKUP(B31,'Salary -Dec-2024 (Full)'!$B$6:$AE$383,24,0)</f>
        <v>660</v>
      </c>
      <c r="Z31" s="192">
        <f>VLOOKUP(B31,'Salary -Dec-2024 (Full)'!$B$6:$AE$383,25,0)</f>
        <v>0</v>
      </c>
      <c r="AA31" s="192">
        <f>VLOOKUP(B31,'Salary -Dec-2024 (Full)'!$B$6:$AE$383,26,0)</f>
        <v>0</v>
      </c>
      <c r="AB31" s="377">
        <f t="shared" ref="AB31:AB33" si="99">SUM(W31:AA31)</f>
        <v>660</v>
      </c>
      <c r="AC31" s="71">
        <f t="shared" ref="AC31:AC33" si="100">ROUND(V31-AB31,0)</f>
        <v>21340</v>
      </c>
      <c r="AD31" s="346" t="str">
        <f>VLOOKUP(B31,'Salary -Dec-2024 (Full)'!$B$6:$AE$383,29,0)</f>
        <v>Bank</v>
      </c>
      <c r="AE31" s="346" t="str">
        <f>VLOOKUP(B31,'Salary -Dec-2024 (Full)'!$B$6:$AE$2853,30,0)</f>
        <v>135.158.0152701</v>
      </c>
      <c r="AH31" s="183"/>
      <c r="AI31" s="320"/>
    </row>
    <row r="32" spans="1:35" s="61" customFormat="1" ht="23.25" customHeight="1">
      <c r="A32" s="771">
        <v>6</v>
      </c>
      <c r="B32" s="63" t="s">
        <v>1130</v>
      </c>
      <c r="C32" s="64" t="str">
        <f>VLOOKUP(B32,'Salary -Dec-2024 (Full)'!$B$8:$AE$381,2,0)</f>
        <v>Md Monowar Hossain</v>
      </c>
      <c r="D32" s="115" t="str">
        <f>VLOOKUP(B32,'Salary -Dec-2024 (Full)'!$B$8:$AE$381,3,0)</f>
        <v>ARM</v>
      </c>
      <c r="E32" s="65" t="str">
        <f>VLOOKUP(B32,'Salary -Dec-2024 (Full)'!$B$8:$AE$381,4,0)</f>
        <v>Pesticide</v>
      </c>
      <c r="F32" s="265">
        <f>VLOOKUP(B32,'Salary -Dec-2024 (Full)'!$B$8:$AE$381,5,0)</f>
        <v>45292</v>
      </c>
      <c r="G32" s="66">
        <f>VLOOKUP(B32,'Salary -Dec-2024 (Full)'!$B$8:$AE$381,6,0)</f>
        <v>31</v>
      </c>
      <c r="H32" s="67">
        <f>VLOOKUP(B32,'Salary -Dec-2024 (Full)'!$B$8:$AE$381,7,0)</f>
        <v>0</v>
      </c>
      <c r="I32" s="66">
        <f t="shared" ref="I32:I36" si="101">G32-H32</f>
        <v>31</v>
      </c>
      <c r="J32" s="67">
        <f t="shared" ref="J32:J36" si="102">Q32/G32</f>
        <v>1354.8387096774193</v>
      </c>
      <c r="K32" s="192">
        <f>VLOOKUP(B32,'Salary -Dec-2024 (Full)'!$B$6:$AE$383,10,0)</f>
        <v>42000</v>
      </c>
      <c r="L32" s="68">
        <f t="shared" ref="L32:L36" si="103">K32*60%</f>
        <v>25200</v>
      </c>
      <c r="M32" s="68">
        <f t="shared" ref="M32:M36" si="104">K32*30%</f>
        <v>12600</v>
      </c>
      <c r="N32" s="68">
        <f t="shared" ref="N32:N36" si="105">K32*6%</f>
        <v>2520</v>
      </c>
      <c r="O32" s="68">
        <f t="shared" ref="O32:O36" si="106">K32*4%</f>
        <v>1680</v>
      </c>
      <c r="P32" s="69"/>
      <c r="Q32" s="70">
        <f t="shared" ref="Q32:Q36" si="107">SUM(L32:P32)</f>
        <v>42000</v>
      </c>
      <c r="R32" s="70">
        <f>VLOOKUP(B32,'Salary -Dec-2024 (Full)'!$B$6:$AE$383,17,0)</f>
        <v>42000</v>
      </c>
      <c r="S32" s="192">
        <f>VLOOKUP(B32,'Salary -Dec-2024 (Full)'!$B$6:$AE$383,18,0)</f>
        <v>0</v>
      </c>
      <c r="T32" s="192">
        <f>VLOOKUP(B32,'Salary -Dec-2024 (Full)'!$B$6:$AE$383,19,0)</f>
        <v>0</v>
      </c>
      <c r="U32" s="337">
        <f>VLOOKUP(B32,'Salary -Dec-2024 (Full)'!$B$6:$AE$383,20,0)</f>
        <v>0</v>
      </c>
      <c r="V32" s="71">
        <f t="shared" ref="V32:V36" si="108">SUM(R32:U32)</f>
        <v>42000</v>
      </c>
      <c r="W32" s="192">
        <f>VLOOKUP(B32,'Salary -Dec-2024 (Full)'!$B$6:$AE$383,22,0)</f>
        <v>0</v>
      </c>
      <c r="X32" s="192">
        <f>VLOOKUP(B32,'Salary -Dec-2024 (Full)'!$B$6:$AE$383,23,0)</f>
        <v>0</v>
      </c>
      <c r="Y32" s="337">
        <f>VLOOKUP(B32,'Salary -Dec-2024 (Full)'!$B$6:$AE$383,24,0)</f>
        <v>1260</v>
      </c>
      <c r="Z32" s="192">
        <f>VLOOKUP(B32,'Salary -Dec-2024 (Full)'!$B$6:$AE$383,25,0)</f>
        <v>0</v>
      </c>
      <c r="AA32" s="192">
        <f>VLOOKUP(B32,'Salary -Dec-2024 (Full)'!$B$6:$AE$383,26,0)</f>
        <v>0</v>
      </c>
      <c r="AB32" s="377">
        <f t="shared" si="99"/>
        <v>1260</v>
      </c>
      <c r="AC32" s="71">
        <f t="shared" si="100"/>
        <v>40740</v>
      </c>
      <c r="AD32" s="346" t="str">
        <f>VLOOKUP(B32,'Salary -Dec-2024 (Full)'!$B$6:$AE$383,29,0)</f>
        <v>Bank</v>
      </c>
      <c r="AE32" s="346" t="str">
        <f>VLOOKUP(B32,'Salary -Dec-2024 (Full)'!$B$6:$AE$2853,30,0)</f>
        <v>162.158.0134850</v>
      </c>
      <c r="AH32" s="183"/>
      <c r="AI32" s="320"/>
    </row>
    <row r="33" spans="1:35" s="61" customFormat="1" ht="24" customHeight="1">
      <c r="A33" s="771">
        <v>7</v>
      </c>
      <c r="B33" s="63" t="s">
        <v>1134</v>
      </c>
      <c r="C33" s="64" t="str">
        <f>VLOOKUP(B33,'Salary -Dec-2024 (Full)'!$B$8:$AE$381,2,0)</f>
        <v>Md Mizanur Rahaman</v>
      </c>
      <c r="D33" s="115" t="str">
        <f>VLOOKUP(B33,'Salary -Dec-2024 (Full)'!$B$8:$AE$381,3,0)</f>
        <v>Sr. Territory Sales Officer</v>
      </c>
      <c r="E33" s="65" t="str">
        <f>VLOOKUP(B33,'Salary -Dec-2024 (Full)'!$B$8:$AE$381,4,0)</f>
        <v>Pesticide</v>
      </c>
      <c r="F33" s="265">
        <f>VLOOKUP(B33,'Salary -Dec-2024 (Full)'!$B$8:$AE$381,5,0)</f>
        <v>45299</v>
      </c>
      <c r="G33" s="66">
        <f>VLOOKUP(B33,'Salary -Dec-2024 (Full)'!$B$8:$AE$381,6,0)</f>
        <v>31</v>
      </c>
      <c r="H33" s="67">
        <f>VLOOKUP(B33,'Salary -Dec-2024 (Full)'!$B$8:$AE$381,7,0)</f>
        <v>0</v>
      </c>
      <c r="I33" s="66">
        <f t="shared" si="101"/>
        <v>31</v>
      </c>
      <c r="J33" s="67">
        <f t="shared" si="102"/>
        <v>838.70967741935488</v>
      </c>
      <c r="K33" s="192">
        <f>VLOOKUP(B33,'Salary -Dec-2024 (Full)'!$B$6:$AE$383,10,0)</f>
        <v>26000</v>
      </c>
      <c r="L33" s="68">
        <f t="shared" si="103"/>
        <v>15600</v>
      </c>
      <c r="M33" s="68">
        <f t="shared" si="104"/>
        <v>7800</v>
      </c>
      <c r="N33" s="68">
        <f t="shared" si="105"/>
        <v>1560</v>
      </c>
      <c r="O33" s="68">
        <f t="shared" si="106"/>
        <v>1040</v>
      </c>
      <c r="P33" s="69"/>
      <c r="Q33" s="70">
        <f t="shared" si="107"/>
        <v>26000</v>
      </c>
      <c r="R33" s="70">
        <f>VLOOKUP(B33,'Salary -Dec-2024 (Full)'!$B$6:$AE$383,17,0)</f>
        <v>26000</v>
      </c>
      <c r="S33" s="192">
        <f>VLOOKUP(B33,'Salary -Dec-2024 (Full)'!$B$6:$AE$383,18,0)</f>
        <v>0</v>
      </c>
      <c r="T33" s="192">
        <f>VLOOKUP(B33,'Salary -Dec-2024 (Full)'!$B$6:$AE$383,19,0)</f>
        <v>0</v>
      </c>
      <c r="U33" s="337">
        <f>VLOOKUP(B33,'Salary -Dec-2024 (Full)'!$B$6:$AE$383,20,0)</f>
        <v>0</v>
      </c>
      <c r="V33" s="71">
        <f t="shared" si="108"/>
        <v>26000</v>
      </c>
      <c r="W33" s="192">
        <f>VLOOKUP(B33,'Salary -Dec-2024 (Full)'!$B$6:$AE$383,22,0)</f>
        <v>0</v>
      </c>
      <c r="X33" s="192">
        <f>VLOOKUP(B33,'Salary -Dec-2024 (Full)'!$B$6:$AE$383,23,0)</f>
        <v>0</v>
      </c>
      <c r="Y33" s="337">
        <f>VLOOKUP(B33,'Salary -Dec-2024 (Full)'!$B$6:$AE$383,24,0)</f>
        <v>0</v>
      </c>
      <c r="Z33" s="192">
        <f>VLOOKUP(B33,'Salary -Dec-2024 (Full)'!$B$6:$AE$383,25,0)</f>
        <v>2175</v>
      </c>
      <c r="AA33" s="192">
        <f>VLOOKUP(B33,'Salary -Dec-2024 (Full)'!$B$6:$AE$383,26,0)</f>
        <v>0</v>
      </c>
      <c r="AB33" s="377">
        <f t="shared" si="99"/>
        <v>2175</v>
      </c>
      <c r="AC33" s="71">
        <f t="shared" si="100"/>
        <v>23825</v>
      </c>
      <c r="AD33" s="346" t="str">
        <f>VLOOKUP(B33,'Salary -Dec-2024 (Full)'!$B$6:$AE$383,29,0)</f>
        <v>Bank</v>
      </c>
      <c r="AE33" s="346" t="str">
        <f>VLOOKUP(B33,'Salary -Dec-2024 (Full)'!$B$6:$AE$2853,30,0)</f>
        <v>162.157.0032344</v>
      </c>
      <c r="AH33" s="183"/>
      <c r="AI33" s="320"/>
    </row>
    <row r="34" spans="1:35" s="61" customFormat="1" ht="24" customHeight="1">
      <c r="A34" s="771">
        <v>8</v>
      </c>
      <c r="B34" s="63" t="s">
        <v>1136</v>
      </c>
      <c r="C34" s="64" t="str">
        <f>VLOOKUP(B34,'Salary -Dec-2024 (Full)'!$B$8:$AE$381,2,0)</f>
        <v>Md Aminul Islam</v>
      </c>
      <c r="D34" s="115" t="str">
        <f>VLOOKUP(B34,'Salary -Dec-2024 (Full)'!$B$8:$AE$381,3,0)</f>
        <v>Territory Sales Officer</v>
      </c>
      <c r="E34" s="65" t="str">
        <f>VLOOKUP(B34,'Salary -Dec-2024 (Full)'!$B$8:$AE$381,4,0)</f>
        <v>Pesticide</v>
      </c>
      <c r="F34" s="265">
        <f>VLOOKUP(B34,'Salary -Dec-2024 (Full)'!$B$8:$AE$381,5,0)</f>
        <v>45299</v>
      </c>
      <c r="G34" s="66">
        <f>VLOOKUP(B34,'Salary -Dec-2024 (Full)'!$B$8:$AE$381,6,0)</f>
        <v>31</v>
      </c>
      <c r="H34" s="67">
        <f>VLOOKUP(B34,'Salary -Dec-2024 (Full)'!$B$8:$AE$381,7,0)</f>
        <v>0</v>
      </c>
      <c r="I34" s="66">
        <f t="shared" si="101"/>
        <v>31</v>
      </c>
      <c r="J34" s="67">
        <f t="shared" si="102"/>
        <v>677.41935483870964</v>
      </c>
      <c r="K34" s="192">
        <f>VLOOKUP(B34,'Salary -Dec-2024 (Full)'!$B$6:$AE$383,10,0)</f>
        <v>21000</v>
      </c>
      <c r="L34" s="68">
        <f t="shared" si="103"/>
        <v>12600</v>
      </c>
      <c r="M34" s="68">
        <f t="shared" si="104"/>
        <v>6300</v>
      </c>
      <c r="N34" s="68">
        <f t="shared" si="105"/>
        <v>1260</v>
      </c>
      <c r="O34" s="68">
        <f t="shared" si="106"/>
        <v>840</v>
      </c>
      <c r="P34" s="69"/>
      <c r="Q34" s="70">
        <f t="shared" si="107"/>
        <v>21000</v>
      </c>
      <c r="R34" s="70">
        <f>VLOOKUP(B34,'Salary -Dec-2024 (Full)'!$B$6:$AE$383,17,0)</f>
        <v>21000</v>
      </c>
      <c r="S34" s="192">
        <f>VLOOKUP(B34,'Salary -Dec-2024 (Full)'!$B$6:$AE$383,18,0)</f>
        <v>0</v>
      </c>
      <c r="T34" s="192">
        <f>VLOOKUP(B34,'Salary -Dec-2024 (Full)'!$B$6:$AE$383,19,0)</f>
        <v>0</v>
      </c>
      <c r="U34" s="337">
        <f>VLOOKUP(B34,'Salary -Dec-2024 (Full)'!$B$6:$AE$383,20,0)</f>
        <v>0</v>
      </c>
      <c r="V34" s="71">
        <f t="shared" si="108"/>
        <v>21000</v>
      </c>
      <c r="W34" s="192">
        <f>VLOOKUP(B34,'Salary -Dec-2024 (Full)'!$B$6:$AE$383,22,0)</f>
        <v>0</v>
      </c>
      <c r="X34" s="192">
        <f>VLOOKUP(B34,'Salary -Dec-2024 (Full)'!$B$6:$AE$383,23,0)</f>
        <v>0</v>
      </c>
      <c r="Y34" s="337">
        <f>VLOOKUP(B34,'Salary -Dec-2024 (Full)'!$B$6:$AE$383,24,0)</f>
        <v>0</v>
      </c>
      <c r="Z34" s="192">
        <f>VLOOKUP(B34,'Salary -Dec-2024 (Full)'!$B$6:$AE$383,25,0)</f>
        <v>2175</v>
      </c>
      <c r="AA34" s="192">
        <f>VLOOKUP(B34,'Salary -Dec-2024 (Full)'!$B$6:$AE$383,26,0)</f>
        <v>0</v>
      </c>
      <c r="AB34" s="377">
        <f t="shared" ref="AB34:AB38" si="109">SUM(W34:AA34)</f>
        <v>2175</v>
      </c>
      <c r="AC34" s="71">
        <f t="shared" ref="AC34:AC38" si="110">ROUND(V34-AB34,0)</f>
        <v>18825</v>
      </c>
      <c r="AD34" s="346" t="str">
        <f>VLOOKUP(B34,'Salary -Dec-2024 (Full)'!$B$6:$AE$383,29,0)</f>
        <v>Bank</v>
      </c>
      <c r="AE34" s="346" t="str">
        <f>VLOOKUP(B34,'Salary -Dec-2024 (Full)'!$B$6:$AE$2853,30,0)</f>
        <v>302.158.0053713</v>
      </c>
      <c r="AH34" s="183"/>
      <c r="AI34" s="320"/>
    </row>
    <row r="35" spans="1:35" s="61" customFormat="1" ht="24" customHeight="1">
      <c r="A35" s="771">
        <v>9</v>
      </c>
      <c r="B35" s="63" t="s">
        <v>1137</v>
      </c>
      <c r="C35" s="64" t="str">
        <f>VLOOKUP(B35,'Salary -Dec-2024 (Full)'!$B$8:$AE$381,2,0)</f>
        <v>Md Alamgir Hossain</v>
      </c>
      <c r="D35" s="115" t="str">
        <f>VLOOKUP(B35,'Salary -Dec-2024 (Full)'!$B$8:$AE$381,3,0)</f>
        <v>Sr. Territory Sales Officer</v>
      </c>
      <c r="E35" s="65" t="str">
        <f>VLOOKUP(B35,'Salary -Dec-2024 (Full)'!$B$8:$AE$381,4,0)</f>
        <v>Pesticide</v>
      </c>
      <c r="F35" s="265">
        <f>VLOOKUP(B35,'Salary -Dec-2024 (Full)'!$B$8:$AE$381,5,0)</f>
        <v>45297</v>
      </c>
      <c r="G35" s="66">
        <f>VLOOKUP(B35,'Salary -Dec-2024 (Full)'!$B$8:$AE$381,6,0)</f>
        <v>31</v>
      </c>
      <c r="H35" s="67">
        <f>VLOOKUP(B35,'Salary -Dec-2024 (Full)'!$B$8:$AE$381,7,0)</f>
        <v>0</v>
      </c>
      <c r="I35" s="66">
        <f t="shared" si="101"/>
        <v>31</v>
      </c>
      <c r="J35" s="67">
        <f t="shared" si="102"/>
        <v>741.93548387096769</v>
      </c>
      <c r="K35" s="192">
        <f>VLOOKUP(B35,'Salary -Dec-2024 (Full)'!$B$6:$AE$383,10,0)</f>
        <v>23000</v>
      </c>
      <c r="L35" s="68">
        <f t="shared" si="103"/>
        <v>13800</v>
      </c>
      <c r="M35" s="68">
        <f t="shared" si="104"/>
        <v>6900</v>
      </c>
      <c r="N35" s="68">
        <f t="shared" si="105"/>
        <v>1380</v>
      </c>
      <c r="O35" s="68">
        <f t="shared" si="106"/>
        <v>920</v>
      </c>
      <c r="P35" s="69"/>
      <c r="Q35" s="70">
        <f t="shared" si="107"/>
        <v>23000</v>
      </c>
      <c r="R35" s="70">
        <f>VLOOKUP(B35,'Salary -Dec-2024 (Full)'!$B$6:$AE$383,17,0)</f>
        <v>23000</v>
      </c>
      <c r="S35" s="192">
        <f>VLOOKUP(B35,'Salary -Dec-2024 (Full)'!$B$6:$AE$383,18,0)</f>
        <v>0</v>
      </c>
      <c r="T35" s="192">
        <f>VLOOKUP(B35,'Salary -Dec-2024 (Full)'!$B$6:$AE$383,19,0)</f>
        <v>0</v>
      </c>
      <c r="U35" s="337">
        <f>VLOOKUP(B35,'Salary -Dec-2024 (Full)'!$B$6:$AE$383,20,0)</f>
        <v>0</v>
      </c>
      <c r="V35" s="71">
        <f t="shared" si="108"/>
        <v>23000</v>
      </c>
      <c r="W35" s="192">
        <f>VLOOKUP(B35,'Salary -Dec-2024 (Full)'!$B$6:$AE$383,22,0)</f>
        <v>0</v>
      </c>
      <c r="X35" s="192">
        <f>VLOOKUP(B35,'Salary -Dec-2024 (Full)'!$B$6:$AE$383,23,0)</f>
        <v>0</v>
      </c>
      <c r="Y35" s="337">
        <f>VLOOKUP(B35,'Salary -Dec-2024 (Full)'!$B$6:$AE$383,24,0)</f>
        <v>690</v>
      </c>
      <c r="Z35" s="192">
        <f>VLOOKUP(B35,'Salary -Dec-2024 (Full)'!$B$6:$AE$383,25,0)</f>
        <v>2175</v>
      </c>
      <c r="AA35" s="192">
        <f>VLOOKUP(B35,'Salary -Dec-2024 (Full)'!$B$6:$AE$383,26,0)</f>
        <v>0</v>
      </c>
      <c r="AB35" s="377">
        <f t="shared" si="109"/>
        <v>2865</v>
      </c>
      <c r="AC35" s="71">
        <f t="shared" si="110"/>
        <v>20135</v>
      </c>
      <c r="AD35" s="346" t="str">
        <f>VLOOKUP(B35,'Salary -Dec-2024 (Full)'!$B$6:$AE$383,29,0)</f>
        <v>Bank</v>
      </c>
      <c r="AE35" s="346" t="str">
        <f>VLOOKUP(B35,'Salary -Dec-2024 (Full)'!$B$6:$AE$2853,30,0)</f>
        <v>162.158.0135244</v>
      </c>
      <c r="AH35" s="183"/>
      <c r="AI35" s="320"/>
    </row>
    <row r="36" spans="1:35" s="61" customFormat="1" ht="24" customHeight="1">
      <c r="A36" s="771">
        <v>10</v>
      </c>
      <c r="B36" s="63" t="s">
        <v>1138</v>
      </c>
      <c r="C36" s="64" t="str">
        <f>VLOOKUP(B36,'Salary -Dec-2024 (Full)'!$B$8:$AE$381,2,0)</f>
        <v>Md Roknuzzaman</v>
      </c>
      <c r="D36" s="115" t="str">
        <f>VLOOKUP(B36,'Salary -Dec-2024 (Full)'!$B$8:$AE$381,3,0)</f>
        <v>Sr. Territory Sales Officer</v>
      </c>
      <c r="E36" s="65" t="str">
        <f>VLOOKUP(B36,'Salary -Dec-2024 (Full)'!$B$8:$AE$381,4,0)</f>
        <v>Pesticide</v>
      </c>
      <c r="F36" s="265">
        <f>VLOOKUP(B36,'Salary -Dec-2024 (Full)'!$B$8:$AE$381,5,0)</f>
        <v>45300</v>
      </c>
      <c r="G36" s="66">
        <f>VLOOKUP(B36,'Salary -Dec-2024 (Full)'!$B$8:$AE$381,6,0)</f>
        <v>31</v>
      </c>
      <c r="H36" s="67">
        <f>VLOOKUP(B36,'Salary -Dec-2024 (Full)'!$B$8:$AE$381,7,0)</f>
        <v>0</v>
      </c>
      <c r="I36" s="66">
        <f t="shared" si="101"/>
        <v>31</v>
      </c>
      <c r="J36" s="67">
        <f t="shared" si="102"/>
        <v>806.45161290322585</v>
      </c>
      <c r="K36" s="192">
        <f>VLOOKUP(B36,'Salary -Dec-2024 (Full)'!$B$6:$AE$383,10,0)</f>
        <v>25000</v>
      </c>
      <c r="L36" s="68">
        <f t="shared" si="103"/>
        <v>15000</v>
      </c>
      <c r="M36" s="68">
        <f t="shared" si="104"/>
        <v>7500</v>
      </c>
      <c r="N36" s="68">
        <f t="shared" si="105"/>
        <v>1500</v>
      </c>
      <c r="O36" s="68">
        <f t="shared" si="106"/>
        <v>1000</v>
      </c>
      <c r="P36" s="69"/>
      <c r="Q36" s="70">
        <f t="shared" si="107"/>
        <v>25000</v>
      </c>
      <c r="R36" s="70">
        <f>VLOOKUP(B36,'Salary -Dec-2024 (Full)'!$B$6:$AE$383,17,0)</f>
        <v>25000</v>
      </c>
      <c r="S36" s="192">
        <f>VLOOKUP(B36,'Salary -Dec-2024 (Full)'!$B$6:$AE$383,18,0)</f>
        <v>0</v>
      </c>
      <c r="T36" s="192">
        <f>VLOOKUP(B36,'Salary -Dec-2024 (Full)'!$B$6:$AE$383,19,0)</f>
        <v>0</v>
      </c>
      <c r="U36" s="337">
        <f>VLOOKUP(B36,'Salary -Dec-2024 (Full)'!$B$6:$AE$383,20,0)</f>
        <v>0</v>
      </c>
      <c r="V36" s="71">
        <f t="shared" si="108"/>
        <v>25000</v>
      </c>
      <c r="W36" s="192">
        <f>VLOOKUP(B36,'Salary -Dec-2024 (Full)'!$B$6:$AE$383,22,0)</f>
        <v>0</v>
      </c>
      <c r="X36" s="192">
        <f>VLOOKUP(B36,'Salary -Dec-2024 (Full)'!$B$6:$AE$383,23,0)</f>
        <v>0</v>
      </c>
      <c r="Y36" s="337">
        <f>VLOOKUP(B36,'Salary -Dec-2024 (Full)'!$B$6:$AE$383,24,0)</f>
        <v>0</v>
      </c>
      <c r="Z36" s="192">
        <f>VLOOKUP(B36,'Salary -Dec-2024 (Full)'!$B$6:$AE$383,25,0)</f>
        <v>2175</v>
      </c>
      <c r="AA36" s="192">
        <f>VLOOKUP(B36,'Salary -Dec-2024 (Full)'!$B$6:$AE$383,26,0)</f>
        <v>0</v>
      </c>
      <c r="AB36" s="377">
        <f t="shared" si="109"/>
        <v>2175</v>
      </c>
      <c r="AC36" s="71">
        <f t="shared" si="110"/>
        <v>22825</v>
      </c>
      <c r="AD36" s="346" t="str">
        <f>VLOOKUP(B36,'Salary -Dec-2024 (Full)'!$B$6:$AE$383,29,0)</f>
        <v>Bank</v>
      </c>
      <c r="AE36" s="346" t="str">
        <f>VLOOKUP(B36,'Salary -Dec-2024 (Full)'!$B$6:$AE$2853,30,0)</f>
        <v>125.158.0128985</v>
      </c>
      <c r="AH36" s="183"/>
      <c r="AI36" s="320"/>
    </row>
    <row r="37" spans="1:35" s="61" customFormat="1" ht="24" customHeight="1">
      <c r="A37" s="771">
        <v>11</v>
      </c>
      <c r="B37" s="392" t="s">
        <v>1156</v>
      </c>
      <c r="C37" s="64" t="str">
        <f>VLOOKUP(B37,'Salary -Dec-2024 (Full)'!$B$8:$AE$381,2,0)</f>
        <v>Dewan Kamrul Hasan</v>
      </c>
      <c r="D37" s="115" t="str">
        <f>VLOOKUP(B37,'Salary -Dec-2024 (Full)'!$B$8:$AE$381,3,0)</f>
        <v>Asst. General Manager</v>
      </c>
      <c r="E37" s="65" t="str">
        <f>VLOOKUP(B37,'Salary -Dec-2024 (Full)'!$B$8:$AE$381,4,0)</f>
        <v>Pesticide</v>
      </c>
      <c r="F37" s="265">
        <f>VLOOKUP(B37,'Salary -Dec-2024 (Full)'!$B$8:$AE$381,5,0)</f>
        <v>45325</v>
      </c>
      <c r="G37" s="66">
        <f>VLOOKUP(B37,'Salary -Dec-2024 (Full)'!$B$8:$AE$381,6,0)</f>
        <v>31</v>
      </c>
      <c r="H37" s="67">
        <f>VLOOKUP(B37,'Salary -Dec-2024 (Full)'!$B$8:$AE$381,7,0)</f>
        <v>0</v>
      </c>
      <c r="I37" s="66">
        <f t="shared" ref="I37" si="111">G37-H37</f>
        <v>31</v>
      </c>
      <c r="J37" s="67">
        <f t="shared" ref="J37" si="112">Q37/G37</f>
        <v>3870.9677419354839</v>
      </c>
      <c r="K37" s="192">
        <f>VLOOKUP(B37,'Salary -Dec-2024 (Full)'!$B$6:$AE$383,10,0)</f>
        <v>120000</v>
      </c>
      <c r="L37" s="68">
        <f t="shared" ref="L37" si="113">K37*60%</f>
        <v>72000</v>
      </c>
      <c r="M37" s="68">
        <f t="shared" ref="M37" si="114">K37*30%</f>
        <v>36000</v>
      </c>
      <c r="N37" s="68">
        <f t="shared" ref="N37" si="115">K37*6%</f>
        <v>7200</v>
      </c>
      <c r="O37" s="68">
        <f t="shared" ref="O37" si="116">K37*4%</f>
        <v>4800</v>
      </c>
      <c r="P37" s="69"/>
      <c r="Q37" s="70">
        <f t="shared" ref="Q37" si="117">SUM(L37:P37)</f>
        <v>120000</v>
      </c>
      <c r="R37" s="70">
        <f>VLOOKUP(B37,'Salary -Dec-2024 (Full)'!$B$6:$AE$383,17,0)</f>
        <v>120000</v>
      </c>
      <c r="S37" s="192">
        <f>VLOOKUP(B37,'Salary -Dec-2024 (Full)'!$B$6:$AE$383,18,0)</f>
        <v>0</v>
      </c>
      <c r="T37" s="192">
        <f>VLOOKUP(B37,'Salary -Dec-2024 (Full)'!$B$6:$AE$383,19,0)</f>
        <v>0</v>
      </c>
      <c r="U37" s="337">
        <f>VLOOKUP(B37,'Salary -Dec-2024 (Full)'!$B$6:$AE$383,20,0)</f>
        <v>0</v>
      </c>
      <c r="V37" s="71">
        <f t="shared" ref="V37" si="118">SUM(R37:U37)</f>
        <v>120000</v>
      </c>
      <c r="W37" s="192">
        <f>VLOOKUP(B37,'Salary -Dec-2024 (Full)'!$B$6:$AE$383,22,0)</f>
        <v>4465</v>
      </c>
      <c r="X37" s="192">
        <f>VLOOKUP(B37,'Salary -Dec-2024 (Full)'!$B$6:$AE$383,23,0)</f>
        <v>0</v>
      </c>
      <c r="Y37" s="337">
        <f>VLOOKUP(B37,'Salary -Dec-2024 (Full)'!$B$6:$AE$383,24,0)</f>
        <v>0</v>
      </c>
      <c r="Z37" s="192">
        <f>VLOOKUP(B37,'Salary -Dec-2024 (Full)'!$B$6:$AE$383,25,0)</f>
        <v>0</v>
      </c>
      <c r="AA37" s="192">
        <f>VLOOKUP(B37,'Salary -Dec-2024 (Full)'!$B$6:$AE$383,26,0)</f>
        <v>0</v>
      </c>
      <c r="AB37" s="377">
        <f t="shared" si="109"/>
        <v>4465</v>
      </c>
      <c r="AC37" s="71">
        <f t="shared" si="110"/>
        <v>115535</v>
      </c>
      <c r="AD37" s="346" t="str">
        <f>VLOOKUP(B37,'Salary -Dec-2024 (Full)'!$B$6:$AE$383,29,0)</f>
        <v>Bank</v>
      </c>
      <c r="AE37" s="346" t="str">
        <f>VLOOKUP(B37,'Salary -Dec-2024 (Full)'!$B$6:$AE$2853,30,0)</f>
        <v>103.103.1392785</v>
      </c>
      <c r="AH37" s="183"/>
      <c r="AI37" s="320"/>
    </row>
    <row r="38" spans="1:35" s="61" customFormat="1" ht="24" customHeight="1">
      <c r="A38" s="771">
        <v>12</v>
      </c>
      <c r="B38" s="392" t="s">
        <v>1203</v>
      </c>
      <c r="C38" s="64" t="str">
        <f>VLOOKUP(B38,'Salary -Dec-2024 (Full)'!$B$8:$AE$381,2,0)</f>
        <v>Md. Yousub Ali</v>
      </c>
      <c r="D38" s="115" t="str">
        <f>VLOOKUP(B38,'Salary -Dec-2024 (Full)'!$B$8:$AE$381,3,0)</f>
        <v>Territory Sales Officer</v>
      </c>
      <c r="E38" s="65" t="str">
        <f>VLOOKUP(B38,'Salary -Dec-2024 (Full)'!$B$8:$AE$381,4,0)</f>
        <v>Pesticide</v>
      </c>
      <c r="F38" s="265">
        <f>VLOOKUP(B38,'Salary -Dec-2024 (Full)'!$B$8:$AE$381,5,0)</f>
        <v>45355</v>
      </c>
      <c r="G38" s="66">
        <f>VLOOKUP(B38,'Salary -Dec-2024 (Full)'!$B$8:$AE$381,6,0)</f>
        <v>31</v>
      </c>
      <c r="H38" s="67">
        <f>VLOOKUP(B38,'Salary -Dec-2024 (Full)'!$B$8:$AE$381,7,0)</f>
        <v>0</v>
      </c>
      <c r="I38" s="66">
        <f t="shared" ref="I38:I43" si="119">G38-H38</f>
        <v>31</v>
      </c>
      <c r="J38" s="67">
        <f t="shared" ref="J38:J43" si="120">Q38/G38</f>
        <v>709.67741935483866</v>
      </c>
      <c r="K38" s="192">
        <f>VLOOKUP(B38,'Salary -Dec-2024 (Full)'!$B$6:$AE$383,10,0)</f>
        <v>22000</v>
      </c>
      <c r="L38" s="68">
        <f t="shared" ref="L38:L43" si="121">K38*60%</f>
        <v>13200</v>
      </c>
      <c r="M38" s="68">
        <f t="shared" ref="M38:M43" si="122">K38*30%</f>
        <v>6600</v>
      </c>
      <c r="N38" s="68">
        <f t="shared" ref="N38:N43" si="123">K38*6%</f>
        <v>1320</v>
      </c>
      <c r="O38" s="68">
        <f t="shared" ref="O38:O43" si="124">K38*4%</f>
        <v>880</v>
      </c>
      <c r="P38" s="69"/>
      <c r="Q38" s="70">
        <f t="shared" ref="Q38:Q43" si="125">SUM(L38:P38)</f>
        <v>22000</v>
      </c>
      <c r="R38" s="70">
        <f>VLOOKUP(B38,'Salary -Dec-2024 (Full)'!$B$6:$AE$383,17,0)</f>
        <v>22000</v>
      </c>
      <c r="S38" s="192">
        <f>VLOOKUP(B38,'Salary -Dec-2024 (Full)'!$B$6:$AE$383,18,0)</f>
        <v>0</v>
      </c>
      <c r="T38" s="192">
        <f>VLOOKUP(B38,'Salary -Dec-2024 (Full)'!$B$6:$AE$383,19,0)</f>
        <v>0</v>
      </c>
      <c r="U38" s="337">
        <f>VLOOKUP(B38,'Salary -Dec-2024 (Full)'!$B$6:$AE$383,20,0)</f>
        <v>0</v>
      </c>
      <c r="V38" s="71">
        <f t="shared" ref="V38:V43" si="126">SUM(R38:U38)</f>
        <v>22000</v>
      </c>
      <c r="W38" s="192">
        <f>VLOOKUP(B38,'Salary -Dec-2024 (Full)'!$B$6:$AE$383,22,0)</f>
        <v>0</v>
      </c>
      <c r="X38" s="192">
        <f>VLOOKUP(B38,'Salary -Dec-2024 (Full)'!$B$6:$AE$383,23,0)</f>
        <v>0</v>
      </c>
      <c r="Y38" s="337">
        <f>VLOOKUP(B38,'Salary -Dec-2024 (Full)'!$B$6:$AE$383,24,0)</f>
        <v>0</v>
      </c>
      <c r="Z38" s="192">
        <f>VLOOKUP(B38,'Salary -Dec-2024 (Full)'!$B$6:$AE$383,25,0)</f>
        <v>0</v>
      </c>
      <c r="AA38" s="192">
        <f>VLOOKUP(B38,'Salary -Dec-2024 (Full)'!$B$6:$AE$383,26,0)</f>
        <v>0</v>
      </c>
      <c r="AB38" s="377">
        <f t="shared" si="109"/>
        <v>0</v>
      </c>
      <c r="AC38" s="71">
        <f t="shared" si="110"/>
        <v>22000</v>
      </c>
      <c r="AD38" s="346" t="str">
        <f>VLOOKUP(B38,'Salary -Dec-2024 (Full)'!$B$6:$AE$383,29,0)</f>
        <v>Bank</v>
      </c>
      <c r="AE38" s="346" t="str">
        <f>VLOOKUP(B38,'Salary -Dec-2024 (Full)'!$B$6:$AE$2853,30,0)</f>
        <v>103.103.1252580</v>
      </c>
      <c r="AH38" s="183"/>
      <c r="AI38" s="320"/>
    </row>
    <row r="39" spans="1:35" s="61" customFormat="1" ht="24" customHeight="1">
      <c r="A39" s="771">
        <v>13</v>
      </c>
      <c r="B39" s="392" t="s">
        <v>1210</v>
      </c>
      <c r="C39" s="64" t="str">
        <f>VLOOKUP(B39,'Salary -Dec-2024 (Full)'!$B$8:$AE$381,2,0)</f>
        <v>Md Tuhin Akram</v>
      </c>
      <c r="D39" s="115" t="str">
        <f>VLOOKUP(B39,'Salary -Dec-2024 (Full)'!$B$8:$AE$381,3,0)</f>
        <v>Territory Sales Officer</v>
      </c>
      <c r="E39" s="65" t="str">
        <f>VLOOKUP(B39,'Salary -Dec-2024 (Full)'!$B$8:$AE$381,4,0)</f>
        <v>Pesticide</v>
      </c>
      <c r="F39" s="265">
        <f>VLOOKUP(B39,'Salary -Dec-2024 (Full)'!$B$8:$AE$381,5,0)</f>
        <v>45357</v>
      </c>
      <c r="G39" s="66">
        <f>VLOOKUP(B39,'Salary -Dec-2024 (Full)'!$B$8:$AE$381,6,0)</f>
        <v>31</v>
      </c>
      <c r="H39" s="67">
        <f>VLOOKUP(B39,'Salary -Dec-2024 (Full)'!$B$8:$AE$381,7,0)</f>
        <v>0</v>
      </c>
      <c r="I39" s="66">
        <f t="shared" si="119"/>
        <v>31</v>
      </c>
      <c r="J39" s="67">
        <f t="shared" si="120"/>
        <v>645.16129032258061</v>
      </c>
      <c r="K39" s="192">
        <f>VLOOKUP(B39,'Salary -Dec-2024 (Full)'!$B$6:$AE$383,10,0)</f>
        <v>20000</v>
      </c>
      <c r="L39" s="68">
        <f t="shared" si="121"/>
        <v>12000</v>
      </c>
      <c r="M39" s="68">
        <f t="shared" si="122"/>
        <v>6000</v>
      </c>
      <c r="N39" s="68">
        <f t="shared" si="123"/>
        <v>1200</v>
      </c>
      <c r="O39" s="68">
        <f t="shared" si="124"/>
        <v>800</v>
      </c>
      <c r="P39" s="69"/>
      <c r="Q39" s="70">
        <f t="shared" si="125"/>
        <v>20000</v>
      </c>
      <c r="R39" s="70">
        <f>VLOOKUP(B39,'Salary -Dec-2024 (Full)'!$B$6:$AE$383,17,0)</f>
        <v>20000</v>
      </c>
      <c r="S39" s="192">
        <f>VLOOKUP(B39,'Salary -Dec-2024 (Full)'!$B$6:$AE$383,18,0)</f>
        <v>0</v>
      </c>
      <c r="T39" s="192">
        <f>VLOOKUP(B39,'Salary -Dec-2024 (Full)'!$B$6:$AE$383,19,0)</f>
        <v>0</v>
      </c>
      <c r="U39" s="337">
        <f>VLOOKUP(B39,'Salary -Dec-2024 (Full)'!$B$6:$AE$383,20,0)</f>
        <v>0</v>
      </c>
      <c r="V39" s="71">
        <f t="shared" si="126"/>
        <v>20000</v>
      </c>
      <c r="W39" s="192">
        <f>VLOOKUP(B39,'Salary -Dec-2024 (Full)'!$B$6:$AE$383,22,0)</f>
        <v>0</v>
      </c>
      <c r="X39" s="192">
        <f>VLOOKUP(B39,'Salary -Dec-2024 (Full)'!$B$6:$AE$383,23,0)</f>
        <v>0</v>
      </c>
      <c r="Y39" s="337">
        <f>VLOOKUP(B39,'Salary -Dec-2024 (Full)'!$B$6:$AE$383,24,0)</f>
        <v>0</v>
      </c>
      <c r="Z39" s="192">
        <f>VLOOKUP(B39,'Salary -Dec-2024 (Full)'!$B$6:$AE$383,25,0)</f>
        <v>0</v>
      </c>
      <c r="AA39" s="192">
        <f>VLOOKUP(B39,'Salary -Dec-2024 (Full)'!$B$6:$AE$383,26,0)</f>
        <v>0</v>
      </c>
      <c r="AB39" s="377">
        <f t="shared" ref="AB39:AB52" si="127">SUM(W39:AA39)</f>
        <v>0</v>
      </c>
      <c r="AC39" s="71">
        <f t="shared" ref="AC39:AC52" si="128">ROUND(V39-AB39,0)</f>
        <v>20000</v>
      </c>
      <c r="AD39" s="346" t="str">
        <f>VLOOKUP(B39,'Salary -Dec-2024 (Full)'!$B$6:$AE$383,29,0)</f>
        <v>Bank</v>
      </c>
      <c r="AE39" s="346" t="str">
        <f>VLOOKUP(B39,'Salary -Dec-2024 (Full)'!$B$6:$AE$2853,30,0)</f>
        <v>207.158.0082755</v>
      </c>
      <c r="AH39" s="183"/>
      <c r="AI39" s="320"/>
    </row>
    <row r="40" spans="1:35" s="61" customFormat="1" ht="24" customHeight="1">
      <c r="A40" s="771">
        <v>14</v>
      </c>
      <c r="B40" s="392" t="s">
        <v>1212</v>
      </c>
      <c r="C40" s="64" t="str">
        <f>VLOOKUP(B40,'Salary -Dec-2024 (Full)'!$B$8:$AE$381,2,0)</f>
        <v>Md Rakib Hossain</v>
      </c>
      <c r="D40" s="115" t="str">
        <f>VLOOKUP(B40,'Salary -Dec-2024 (Full)'!$B$8:$AE$381,3,0)</f>
        <v>Territory Sales Officer</v>
      </c>
      <c r="E40" s="65" t="str">
        <f>VLOOKUP(B40,'Salary -Dec-2024 (Full)'!$B$8:$AE$381,4,0)</f>
        <v>Pesticide</v>
      </c>
      <c r="F40" s="265">
        <f>VLOOKUP(B40,'Salary -Dec-2024 (Full)'!$B$8:$AE$381,5,0)</f>
        <v>45357</v>
      </c>
      <c r="G40" s="66">
        <f>VLOOKUP(B40,'Salary -Dec-2024 (Full)'!$B$8:$AE$381,6,0)</f>
        <v>31</v>
      </c>
      <c r="H40" s="67">
        <f>VLOOKUP(B40,'Salary -Dec-2024 (Full)'!$B$8:$AE$381,7,0)</f>
        <v>0</v>
      </c>
      <c r="I40" s="66">
        <f t="shared" si="119"/>
        <v>31</v>
      </c>
      <c r="J40" s="67">
        <f t="shared" si="120"/>
        <v>645.16129032258061</v>
      </c>
      <c r="K40" s="192">
        <f>VLOOKUP(B40,'Salary -Dec-2024 (Full)'!$B$6:$AE$383,10,0)</f>
        <v>20000</v>
      </c>
      <c r="L40" s="68">
        <f t="shared" si="121"/>
        <v>12000</v>
      </c>
      <c r="M40" s="68">
        <f t="shared" si="122"/>
        <v>6000</v>
      </c>
      <c r="N40" s="68">
        <f t="shared" si="123"/>
        <v>1200</v>
      </c>
      <c r="O40" s="68">
        <f t="shared" si="124"/>
        <v>800</v>
      </c>
      <c r="P40" s="69"/>
      <c r="Q40" s="70">
        <f t="shared" si="125"/>
        <v>20000</v>
      </c>
      <c r="R40" s="70">
        <f>VLOOKUP(B40,'Salary -Dec-2024 (Full)'!$B$6:$AE$383,17,0)</f>
        <v>20000</v>
      </c>
      <c r="S40" s="192">
        <f>VLOOKUP(B40,'Salary -Dec-2024 (Full)'!$B$6:$AE$383,18,0)</f>
        <v>0</v>
      </c>
      <c r="T40" s="192">
        <f>VLOOKUP(B40,'Salary -Dec-2024 (Full)'!$B$6:$AE$383,19,0)</f>
        <v>0</v>
      </c>
      <c r="U40" s="337">
        <f>VLOOKUP(B40,'Salary -Dec-2024 (Full)'!$B$6:$AE$383,20,0)</f>
        <v>0</v>
      </c>
      <c r="V40" s="71">
        <f t="shared" si="126"/>
        <v>20000</v>
      </c>
      <c r="W40" s="192">
        <f>VLOOKUP(B40,'Salary -Dec-2024 (Full)'!$B$6:$AE$383,22,0)</f>
        <v>0</v>
      </c>
      <c r="X40" s="192">
        <f>VLOOKUP(B40,'Salary -Dec-2024 (Full)'!$B$6:$AE$383,23,0)</f>
        <v>0</v>
      </c>
      <c r="Y40" s="337">
        <f>VLOOKUP(B40,'Salary -Dec-2024 (Full)'!$B$6:$AE$383,24,0)</f>
        <v>0</v>
      </c>
      <c r="Z40" s="192">
        <f>VLOOKUP(B40,'Salary -Dec-2024 (Full)'!$B$6:$AE$383,25,0)</f>
        <v>2175</v>
      </c>
      <c r="AA40" s="192">
        <f>VLOOKUP(B40,'Salary -Dec-2024 (Full)'!$B$6:$AE$383,26,0)</f>
        <v>0</v>
      </c>
      <c r="AB40" s="377">
        <f t="shared" si="127"/>
        <v>2175</v>
      </c>
      <c r="AC40" s="71">
        <f t="shared" si="128"/>
        <v>17825</v>
      </c>
      <c r="AD40" s="346" t="str">
        <f>VLOOKUP(B40,'Salary -Dec-2024 (Full)'!$B$6:$AE$383,29,0)</f>
        <v>Bank</v>
      </c>
      <c r="AE40" s="346" t="str">
        <f>VLOOKUP(B40,'Salary -Dec-2024 (Full)'!$B$6:$AE$2853,30,0)</f>
        <v>294.158.0020104</v>
      </c>
      <c r="AH40" s="183"/>
      <c r="AI40" s="320"/>
    </row>
    <row r="41" spans="1:35" s="61" customFormat="1" ht="24" customHeight="1">
      <c r="A41" s="771">
        <v>15</v>
      </c>
      <c r="B41" s="392" t="s">
        <v>1214</v>
      </c>
      <c r="C41" s="64" t="str">
        <f>VLOOKUP(B41,'Salary -Dec-2024 (Full)'!$B$8:$AE$381,2,0)</f>
        <v>Md Atikur Rahman</v>
      </c>
      <c r="D41" s="115" t="str">
        <f>VLOOKUP(B41,'Salary -Dec-2024 (Full)'!$B$8:$AE$381,3,0)</f>
        <v>Territory Sales Officer</v>
      </c>
      <c r="E41" s="65" t="str">
        <f>VLOOKUP(B41,'Salary -Dec-2024 (Full)'!$B$8:$AE$381,4,0)</f>
        <v>Pesticide</v>
      </c>
      <c r="F41" s="265">
        <f>VLOOKUP(B41,'Salary -Dec-2024 (Full)'!$B$8:$AE$381,5,0)</f>
        <v>45357</v>
      </c>
      <c r="G41" s="66">
        <f>VLOOKUP(B41,'Salary -Dec-2024 (Full)'!$B$8:$AE$381,6,0)</f>
        <v>31</v>
      </c>
      <c r="H41" s="67">
        <f>VLOOKUP(B41,'Salary -Dec-2024 (Full)'!$B$8:$AE$381,7,0)</f>
        <v>0</v>
      </c>
      <c r="I41" s="66">
        <f t="shared" si="119"/>
        <v>31</v>
      </c>
      <c r="J41" s="67">
        <f t="shared" si="120"/>
        <v>741.93548387096769</v>
      </c>
      <c r="K41" s="192">
        <f>VLOOKUP(B41,'Salary -Dec-2024 (Full)'!$B$6:$AE$383,10,0)</f>
        <v>23000</v>
      </c>
      <c r="L41" s="68">
        <f t="shared" si="121"/>
        <v>13800</v>
      </c>
      <c r="M41" s="68">
        <f t="shared" si="122"/>
        <v>6900</v>
      </c>
      <c r="N41" s="68">
        <f t="shared" si="123"/>
        <v>1380</v>
      </c>
      <c r="O41" s="68">
        <f t="shared" si="124"/>
        <v>920</v>
      </c>
      <c r="P41" s="69"/>
      <c r="Q41" s="70">
        <f t="shared" si="125"/>
        <v>23000</v>
      </c>
      <c r="R41" s="70">
        <f>VLOOKUP(B41,'Salary -Dec-2024 (Full)'!$B$6:$AE$383,17,0)</f>
        <v>23000</v>
      </c>
      <c r="S41" s="192">
        <f>VLOOKUP(B41,'Salary -Dec-2024 (Full)'!$B$6:$AE$383,18,0)</f>
        <v>0</v>
      </c>
      <c r="T41" s="192">
        <f>VLOOKUP(B41,'Salary -Dec-2024 (Full)'!$B$6:$AE$383,19,0)</f>
        <v>0</v>
      </c>
      <c r="U41" s="337">
        <f>VLOOKUP(B41,'Salary -Dec-2024 (Full)'!$B$6:$AE$383,20,0)</f>
        <v>0</v>
      </c>
      <c r="V41" s="71">
        <f t="shared" si="126"/>
        <v>23000</v>
      </c>
      <c r="W41" s="192">
        <f>VLOOKUP(B41,'Salary -Dec-2024 (Full)'!$B$6:$AE$383,22,0)</f>
        <v>0</v>
      </c>
      <c r="X41" s="192">
        <f>VLOOKUP(B41,'Salary -Dec-2024 (Full)'!$B$6:$AE$383,23,0)</f>
        <v>0</v>
      </c>
      <c r="Y41" s="337">
        <f>VLOOKUP(B41,'Salary -Dec-2024 (Full)'!$B$6:$AE$383,24,0)</f>
        <v>0</v>
      </c>
      <c r="Z41" s="192">
        <f>VLOOKUP(B41,'Salary -Dec-2024 (Full)'!$B$6:$AE$383,25,0)</f>
        <v>2175</v>
      </c>
      <c r="AA41" s="192">
        <f>VLOOKUP(B41,'Salary -Dec-2024 (Full)'!$B$6:$AE$383,26,0)</f>
        <v>0</v>
      </c>
      <c r="AB41" s="377">
        <f t="shared" si="127"/>
        <v>2175</v>
      </c>
      <c r="AC41" s="71">
        <f t="shared" si="128"/>
        <v>20825</v>
      </c>
      <c r="AD41" s="346" t="str">
        <f>VLOOKUP(B41,'Salary -Dec-2024 (Full)'!$B$6:$AE$383,29,0)</f>
        <v>Bank</v>
      </c>
      <c r="AE41" s="346" t="str">
        <f>VLOOKUP(B41,'Salary -Dec-2024 (Full)'!$B$6:$AE$2853,30,0)</f>
        <v>262.158.0033439</v>
      </c>
      <c r="AH41" s="183"/>
      <c r="AI41" s="320"/>
    </row>
    <row r="42" spans="1:35" s="61" customFormat="1" ht="24" customHeight="1">
      <c r="A42" s="771">
        <v>16</v>
      </c>
      <c r="B42" s="392" t="s">
        <v>1222</v>
      </c>
      <c r="C42" s="64" t="str">
        <f>VLOOKUP(B42,'Salary -Dec-2024 (Full)'!$B$8:$AE$381,2,0)</f>
        <v>Md Asaduzzaman</v>
      </c>
      <c r="D42" s="115" t="str">
        <f>VLOOKUP(B42,'Salary -Dec-2024 (Full)'!$B$8:$AE$381,3,0)</f>
        <v>Sr. Territory Sales Officer</v>
      </c>
      <c r="E42" s="65" t="str">
        <f>VLOOKUP(B42,'Salary -Dec-2024 (Full)'!$B$8:$AE$381,4,0)</f>
        <v>Pesticide</v>
      </c>
      <c r="F42" s="265">
        <f>VLOOKUP(B42,'Salary -Dec-2024 (Full)'!$B$8:$AE$381,5,0)</f>
        <v>45367</v>
      </c>
      <c r="G42" s="66">
        <f>VLOOKUP(B42,'Salary -Dec-2024 (Full)'!$B$8:$AE$381,6,0)</f>
        <v>31</v>
      </c>
      <c r="H42" s="67">
        <f>VLOOKUP(B42,'Salary -Dec-2024 (Full)'!$B$8:$AE$381,7,0)</f>
        <v>0</v>
      </c>
      <c r="I42" s="66">
        <f t="shared" si="119"/>
        <v>31</v>
      </c>
      <c r="J42" s="67">
        <f t="shared" si="120"/>
        <v>838.70967741935488</v>
      </c>
      <c r="K42" s="192">
        <f>VLOOKUP(B42,'Salary -Dec-2024 (Full)'!$B$6:$AE$383,10,0)</f>
        <v>26000</v>
      </c>
      <c r="L42" s="68">
        <f t="shared" si="121"/>
        <v>15600</v>
      </c>
      <c r="M42" s="68">
        <f t="shared" si="122"/>
        <v>7800</v>
      </c>
      <c r="N42" s="68">
        <f t="shared" si="123"/>
        <v>1560</v>
      </c>
      <c r="O42" s="68">
        <f t="shared" si="124"/>
        <v>1040</v>
      </c>
      <c r="P42" s="69"/>
      <c r="Q42" s="70">
        <f t="shared" si="125"/>
        <v>26000</v>
      </c>
      <c r="R42" s="70">
        <f>VLOOKUP(B42,'Salary -Dec-2024 (Full)'!$B$6:$AE$383,17,0)</f>
        <v>26000</v>
      </c>
      <c r="S42" s="192">
        <f>VLOOKUP(B42,'Salary -Dec-2024 (Full)'!$B$6:$AE$383,18,0)</f>
        <v>0</v>
      </c>
      <c r="T42" s="192">
        <f>VLOOKUP(B42,'Salary -Dec-2024 (Full)'!$B$6:$AE$383,19,0)</f>
        <v>0</v>
      </c>
      <c r="U42" s="337">
        <f>VLOOKUP(B42,'Salary -Dec-2024 (Full)'!$B$6:$AE$383,20,0)</f>
        <v>0</v>
      </c>
      <c r="V42" s="71">
        <f t="shared" si="126"/>
        <v>26000</v>
      </c>
      <c r="W42" s="192">
        <f>VLOOKUP(B42,'Salary -Dec-2024 (Full)'!$B$6:$AE$383,22,0)</f>
        <v>0</v>
      </c>
      <c r="X42" s="192">
        <f>VLOOKUP(B42,'Salary -Dec-2024 (Full)'!$B$6:$AE$383,23,0)</f>
        <v>0</v>
      </c>
      <c r="Y42" s="337">
        <f>VLOOKUP(B42,'Salary -Dec-2024 (Full)'!$B$6:$AE$383,24,0)</f>
        <v>0</v>
      </c>
      <c r="Z42" s="192">
        <f>VLOOKUP(B42,'Salary -Dec-2024 (Full)'!$B$6:$AE$383,25,0)</f>
        <v>2175</v>
      </c>
      <c r="AA42" s="192">
        <f>VLOOKUP(B42,'Salary -Dec-2024 (Full)'!$B$6:$AE$383,26,0)</f>
        <v>0</v>
      </c>
      <c r="AB42" s="377">
        <f t="shared" si="127"/>
        <v>2175</v>
      </c>
      <c r="AC42" s="71">
        <f t="shared" si="128"/>
        <v>23825</v>
      </c>
      <c r="AD42" s="346" t="str">
        <f>VLOOKUP(B42,'Salary -Dec-2024 (Full)'!$B$6:$AE$383,29,0)</f>
        <v>Bank</v>
      </c>
      <c r="AE42" s="346" t="str">
        <f>VLOOKUP(B42,'Salary -Dec-2024 (Full)'!$B$6:$AE$2853,30,0)</f>
        <v>194.151.0136538</v>
      </c>
      <c r="AH42" s="183"/>
      <c r="AI42" s="320"/>
    </row>
    <row r="43" spans="1:35" s="61" customFormat="1" ht="24" customHeight="1">
      <c r="A43" s="771">
        <v>17</v>
      </c>
      <c r="B43" s="392" t="s">
        <v>1223</v>
      </c>
      <c r="C43" s="64" t="str">
        <f>VLOOKUP(B43,'Salary -Dec-2024 (Full)'!$B$8:$AE$381,2,0)</f>
        <v>Md Rasadul Islam</v>
      </c>
      <c r="D43" s="115" t="str">
        <f>VLOOKUP(B43,'Salary -Dec-2024 (Full)'!$B$8:$AE$381,3,0)</f>
        <v>Sr. Territory Sales Officer</v>
      </c>
      <c r="E43" s="65" t="str">
        <f>VLOOKUP(B43,'Salary -Dec-2024 (Full)'!$B$8:$AE$381,4,0)</f>
        <v>Pesticide</v>
      </c>
      <c r="F43" s="265">
        <f>VLOOKUP(B43,'Salary -Dec-2024 (Full)'!$B$8:$AE$381,5,0)</f>
        <v>45367</v>
      </c>
      <c r="G43" s="66">
        <f>VLOOKUP(B43,'Salary -Dec-2024 (Full)'!$B$8:$AE$381,6,0)</f>
        <v>31</v>
      </c>
      <c r="H43" s="67">
        <f>VLOOKUP(B43,'Salary -Dec-2024 (Full)'!$B$8:$AE$381,7,0)</f>
        <v>0</v>
      </c>
      <c r="I43" s="66">
        <f t="shared" si="119"/>
        <v>31</v>
      </c>
      <c r="J43" s="67">
        <f t="shared" si="120"/>
        <v>806.45161290322585</v>
      </c>
      <c r="K43" s="192">
        <f>VLOOKUP(B43,'Salary -Dec-2024 (Full)'!$B$6:$AE$383,10,0)</f>
        <v>25000</v>
      </c>
      <c r="L43" s="68">
        <f t="shared" si="121"/>
        <v>15000</v>
      </c>
      <c r="M43" s="68">
        <f t="shared" si="122"/>
        <v>7500</v>
      </c>
      <c r="N43" s="68">
        <f t="shared" si="123"/>
        <v>1500</v>
      </c>
      <c r="O43" s="68">
        <f t="shared" si="124"/>
        <v>1000</v>
      </c>
      <c r="P43" s="69"/>
      <c r="Q43" s="70">
        <f t="shared" si="125"/>
        <v>25000</v>
      </c>
      <c r="R43" s="70">
        <f>VLOOKUP(B43,'Salary -Dec-2024 (Full)'!$B$6:$AE$383,17,0)</f>
        <v>25000</v>
      </c>
      <c r="S43" s="192">
        <f>VLOOKUP(B43,'Salary -Dec-2024 (Full)'!$B$6:$AE$383,18,0)</f>
        <v>0</v>
      </c>
      <c r="T43" s="192">
        <f>VLOOKUP(B43,'Salary -Dec-2024 (Full)'!$B$6:$AE$383,19,0)</f>
        <v>0</v>
      </c>
      <c r="U43" s="337">
        <f>VLOOKUP(B43,'Salary -Dec-2024 (Full)'!$B$6:$AE$383,20,0)</f>
        <v>0</v>
      </c>
      <c r="V43" s="71">
        <f t="shared" si="126"/>
        <v>25000</v>
      </c>
      <c r="W43" s="192">
        <f>VLOOKUP(B43,'Salary -Dec-2024 (Full)'!$B$6:$AE$383,22,0)</f>
        <v>0</v>
      </c>
      <c r="X43" s="192">
        <f>VLOOKUP(B43,'Salary -Dec-2024 (Full)'!$B$6:$AE$383,23,0)</f>
        <v>0</v>
      </c>
      <c r="Y43" s="337">
        <f>VLOOKUP(B43,'Salary -Dec-2024 (Full)'!$B$6:$AE$383,24,0)</f>
        <v>0</v>
      </c>
      <c r="Z43" s="192">
        <f>VLOOKUP(B43,'Salary -Dec-2024 (Full)'!$B$6:$AE$383,25,0)</f>
        <v>0</v>
      </c>
      <c r="AA43" s="192">
        <f>VLOOKUP(B43,'Salary -Dec-2024 (Full)'!$B$6:$AE$383,26,0)</f>
        <v>0</v>
      </c>
      <c r="AB43" s="377">
        <f t="shared" si="127"/>
        <v>0</v>
      </c>
      <c r="AC43" s="71">
        <f t="shared" si="128"/>
        <v>25000</v>
      </c>
      <c r="AD43" s="346" t="str">
        <f>VLOOKUP(B43,'Salary -Dec-2024 (Full)'!$B$6:$AE$383,29,0)</f>
        <v>Bank</v>
      </c>
      <c r="AE43" s="346" t="str">
        <f>VLOOKUP(B43,'Salary -Dec-2024 (Full)'!$B$6:$AE$2853,30,0)</f>
        <v>127.103.0237223</v>
      </c>
      <c r="AH43" s="183"/>
      <c r="AI43" s="320"/>
    </row>
    <row r="44" spans="1:35" s="61" customFormat="1" ht="24" customHeight="1">
      <c r="A44" s="771">
        <v>18</v>
      </c>
      <c r="B44" s="392" t="s">
        <v>1296</v>
      </c>
      <c r="C44" s="64" t="str">
        <f>VLOOKUP(B44,'Salary -Dec-2024 (Full)'!$B$8:$AE$381,2,0)</f>
        <v>Md Hasin Ul Ahsan</v>
      </c>
      <c r="D44" s="115" t="str">
        <f>VLOOKUP(B44,'Salary -Dec-2024 (Full)'!$B$8:$AE$381,3,0)</f>
        <v>Territory Sales Officer</v>
      </c>
      <c r="E44" s="65" t="str">
        <f>VLOOKUP(B44,'Salary -Dec-2024 (Full)'!$B$8:$AE$381,4,0)</f>
        <v>Pesticide</v>
      </c>
      <c r="F44" s="265">
        <f>VLOOKUP(B44,'Salary -Dec-2024 (Full)'!$B$8:$AE$381,5,0)</f>
        <v>45398</v>
      </c>
      <c r="G44" s="66">
        <f>VLOOKUP(B44,'Salary -Dec-2024 (Full)'!$B$8:$AE$381,6,0)</f>
        <v>31</v>
      </c>
      <c r="H44" s="67">
        <f>VLOOKUP(B44,'Salary -Dec-2024 (Full)'!$B$8:$AE$381,7,0)</f>
        <v>0</v>
      </c>
      <c r="I44" s="66">
        <f t="shared" ref="I44:I52" si="129">G44-H44</f>
        <v>31</v>
      </c>
      <c r="J44" s="67">
        <f t="shared" ref="J44:J52" si="130">Q44/G44</f>
        <v>741.93548387096769</v>
      </c>
      <c r="K44" s="192">
        <f>VLOOKUP(B44,'Salary -Dec-2024 (Full)'!$B$6:$AE$383,10,0)</f>
        <v>23000</v>
      </c>
      <c r="L44" s="68">
        <f t="shared" ref="L44:L52" si="131">K44*60%</f>
        <v>13800</v>
      </c>
      <c r="M44" s="68">
        <f t="shared" ref="M44:M52" si="132">K44*30%</f>
        <v>6900</v>
      </c>
      <c r="N44" s="68">
        <f t="shared" ref="N44:N52" si="133">K44*6%</f>
        <v>1380</v>
      </c>
      <c r="O44" s="68">
        <f t="shared" ref="O44:O52" si="134">K44*4%</f>
        <v>920</v>
      </c>
      <c r="P44" s="69"/>
      <c r="Q44" s="70">
        <f t="shared" ref="Q44:Q52" si="135">SUM(L44:P44)</f>
        <v>23000</v>
      </c>
      <c r="R44" s="70">
        <f>VLOOKUP(B44,'Salary -Dec-2024 (Full)'!$B$6:$AE$383,17,0)</f>
        <v>23000</v>
      </c>
      <c r="S44" s="192">
        <f>VLOOKUP(B44,'Salary -Dec-2024 (Full)'!$B$6:$AE$383,18,0)</f>
        <v>0</v>
      </c>
      <c r="T44" s="192">
        <f>VLOOKUP(B44,'Salary -Dec-2024 (Full)'!$B$6:$AE$383,19,0)</f>
        <v>0</v>
      </c>
      <c r="U44" s="337">
        <f>VLOOKUP(B44,'Salary -Dec-2024 (Full)'!$B$6:$AE$383,20,0)</f>
        <v>0</v>
      </c>
      <c r="V44" s="71">
        <f t="shared" ref="V44:V52" si="136">SUM(R44:U44)</f>
        <v>23000</v>
      </c>
      <c r="W44" s="192">
        <f>VLOOKUP(B44,'Salary -Dec-2024 (Full)'!$B$6:$AE$383,22,0)</f>
        <v>0</v>
      </c>
      <c r="X44" s="192">
        <f>VLOOKUP(B44,'Salary -Dec-2024 (Full)'!$B$6:$AE$383,23,0)</f>
        <v>0</v>
      </c>
      <c r="Y44" s="337">
        <f>VLOOKUP(B44,'Salary -Dec-2024 (Full)'!$B$6:$AE$383,24,0)</f>
        <v>0</v>
      </c>
      <c r="Z44" s="192">
        <f>VLOOKUP(B44,'Salary -Dec-2024 (Full)'!$B$6:$AE$383,25,0)</f>
        <v>0</v>
      </c>
      <c r="AA44" s="192">
        <f>VLOOKUP(B44,'Salary -Dec-2024 (Full)'!$B$6:$AE$383,26,0)</f>
        <v>0</v>
      </c>
      <c r="AB44" s="377">
        <f t="shared" si="127"/>
        <v>0</v>
      </c>
      <c r="AC44" s="71">
        <f t="shared" si="128"/>
        <v>23000</v>
      </c>
      <c r="AD44" s="346" t="str">
        <f>VLOOKUP(B44,'Salary -Dec-2024 (Full)'!$B$6:$AE$383,29,0)</f>
        <v>Bank</v>
      </c>
      <c r="AE44" s="346" t="str">
        <f>VLOOKUP(B44,'Salary -Dec-2024 (Full)'!$B$6:$AE$2853,30,0)</f>
        <v>172.103.0062164</v>
      </c>
      <c r="AH44" s="183"/>
      <c r="AI44" s="320"/>
    </row>
    <row r="45" spans="1:35" s="61" customFormat="1" ht="24" customHeight="1">
      <c r="A45" s="771">
        <v>19</v>
      </c>
      <c r="B45" s="392" t="s">
        <v>1298</v>
      </c>
      <c r="C45" s="64" t="str">
        <f>VLOOKUP(B45,'Salary -Dec-2024 (Full)'!$B$8:$AE$381,2,0)</f>
        <v>Md Shujon Ali</v>
      </c>
      <c r="D45" s="115" t="str">
        <f>VLOOKUP(B45,'Salary -Dec-2024 (Full)'!$B$8:$AE$381,3,0)</f>
        <v>Territory Sales Officer</v>
      </c>
      <c r="E45" s="65" t="str">
        <f>VLOOKUP(B45,'Salary -Dec-2024 (Full)'!$B$8:$AE$381,4,0)</f>
        <v>Pesticide</v>
      </c>
      <c r="F45" s="265">
        <f>VLOOKUP(B45,'Salary -Dec-2024 (Full)'!$B$8:$AE$381,5,0)</f>
        <v>45398</v>
      </c>
      <c r="G45" s="66">
        <f>VLOOKUP(B45,'Salary -Dec-2024 (Full)'!$B$8:$AE$381,6,0)</f>
        <v>31</v>
      </c>
      <c r="H45" s="67">
        <f>VLOOKUP(B45,'Salary -Dec-2024 (Full)'!$B$8:$AE$381,7,0)</f>
        <v>0</v>
      </c>
      <c r="I45" s="66">
        <f t="shared" si="129"/>
        <v>31</v>
      </c>
      <c r="J45" s="67">
        <f t="shared" si="130"/>
        <v>741.93548387096769</v>
      </c>
      <c r="K45" s="192">
        <f>VLOOKUP(B45,'Salary -Dec-2024 (Full)'!$B$6:$AE$383,10,0)</f>
        <v>23000</v>
      </c>
      <c r="L45" s="68">
        <f t="shared" si="131"/>
        <v>13800</v>
      </c>
      <c r="M45" s="68">
        <f t="shared" si="132"/>
        <v>6900</v>
      </c>
      <c r="N45" s="68">
        <f t="shared" si="133"/>
        <v>1380</v>
      </c>
      <c r="O45" s="68">
        <f t="shared" si="134"/>
        <v>920</v>
      </c>
      <c r="P45" s="69"/>
      <c r="Q45" s="70">
        <f t="shared" si="135"/>
        <v>23000</v>
      </c>
      <c r="R45" s="70">
        <f>VLOOKUP(B45,'Salary -Dec-2024 (Full)'!$B$6:$AE$383,17,0)</f>
        <v>23000</v>
      </c>
      <c r="S45" s="192">
        <f>VLOOKUP(B45,'Salary -Dec-2024 (Full)'!$B$6:$AE$383,18,0)</f>
        <v>0</v>
      </c>
      <c r="T45" s="192">
        <f>VLOOKUP(B45,'Salary -Dec-2024 (Full)'!$B$6:$AE$383,19,0)</f>
        <v>0</v>
      </c>
      <c r="U45" s="337">
        <f>VLOOKUP(B45,'Salary -Dec-2024 (Full)'!$B$6:$AE$383,20,0)</f>
        <v>0</v>
      </c>
      <c r="V45" s="71">
        <f t="shared" si="136"/>
        <v>23000</v>
      </c>
      <c r="W45" s="192">
        <f>VLOOKUP(B45,'Salary -Dec-2024 (Full)'!$B$6:$AE$383,22,0)</f>
        <v>0</v>
      </c>
      <c r="X45" s="192">
        <f>VLOOKUP(B45,'Salary -Dec-2024 (Full)'!$B$6:$AE$383,23,0)</f>
        <v>0</v>
      </c>
      <c r="Y45" s="337">
        <f>VLOOKUP(B45,'Salary -Dec-2024 (Full)'!$B$6:$AE$383,24,0)</f>
        <v>0</v>
      </c>
      <c r="Z45" s="192">
        <f>VLOOKUP(B45,'Salary -Dec-2024 (Full)'!$B$6:$AE$383,25,0)</f>
        <v>0</v>
      </c>
      <c r="AA45" s="192">
        <f>VLOOKUP(B45,'Salary -Dec-2024 (Full)'!$B$6:$AE$383,26,0)</f>
        <v>0</v>
      </c>
      <c r="AB45" s="377">
        <f t="shared" si="127"/>
        <v>0</v>
      </c>
      <c r="AC45" s="71">
        <f t="shared" si="128"/>
        <v>23000</v>
      </c>
      <c r="AD45" s="346" t="str">
        <f>VLOOKUP(B45,'Salary -Dec-2024 (Full)'!$B$6:$AE$383,29,0)</f>
        <v>Bank</v>
      </c>
      <c r="AE45" s="346" t="str">
        <f>VLOOKUP(B45,'Salary -Dec-2024 (Full)'!$B$6:$AE$2853,30,0)</f>
        <v>228.158.0086493</v>
      </c>
      <c r="AH45" s="183"/>
      <c r="AI45" s="320"/>
    </row>
    <row r="46" spans="1:35" s="61" customFormat="1" ht="24" customHeight="1">
      <c r="A46" s="771">
        <v>20</v>
      </c>
      <c r="B46" s="392" t="s">
        <v>1300</v>
      </c>
      <c r="C46" s="64" t="str">
        <f>VLOOKUP(B46,'Salary -Dec-2024 (Full)'!$B$8:$AE$381,2,0)</f>
        <v>Md Harun Or Rashid</v>
      </c>
      <c r="D46" s="115" t="str">
        <f>VLOOKUP(B46,'Salary -Dec-2024 (Full)'!$B$8:$AE$381,3,0)</f>
        <v>Territory Sales Officer</v>
      </c>
      <c r="E46" s="65" t="str">
        <f>VLOOKUP(B46,'Salary -Dec-2024 (Full)'!$B$8:$AE$381,4,0)</f>
        <v>Pesticide</v>
      </c>
      <c r="F46" s="265">
        <f>VLOOKUP(B46,'Salary -Dec-2024 (Full)'!$B$8:$AE$381,5,0)</f>
        <v>45398</v>
      </c>
      <c r="G46" s="66">
        <f>VLOOKUP(B46,'Salary -Dec-2024 (Full)'!$B$8:$AE$381,6,0)</f>
        <v>31</v>
      </c>
      <c r="H46" s="67">
        <f>VLOOKUP(B46,'Salary -Dec-2024 (Full)'!$B$8:$AE$381,7,0)</f>
        <v>0</v>
      </c>
      <c r="I46" s="66">
        <f t="shared" si="129"/>
        <v>31</v>
      </c>
      <c r="J46" s="67">
        <f t="shared" si="130"/>
        <v>741.93548387096769</v>
      </c>
      <c r="K46" s="192">
        <f>VLOOKUP(B46,'Salary -Dec-2024 (Full)'!$B$6:$AE$383,10,0)</f>
        <v>23000</v>
      </c>
      <c r="L46" s="68">
        <f t="shared" si="131"/>
        <v>13800</v>
      </c>
      <c r="M46" s="68">
        <f t="shared" si="132"/>
        <v>6900</v>
      </c>
      <c r="N46" s="68">
        <f t="shared" si="133"/>
        <v>1380</v>
      </c>
      <c r="O46" s="68">
        <f t="shared" si="134"/>
        <v>920</v>
      </c>
      <c r="P46" s="69"/>
      <c r="Q46" s="70">
        <f t="shared" si="135"/>
        <v>23000</v>
      </c>
      <c r="R46" s="70">
        <f>VLOOKUP(B46,'Salary -Dec-2024 (Full)'!$B$6:$AE$383,17,0)</f>
        <v>23000</v>
      </c>
      <c r="S46" s="192">
        <f>VLOOKUP(B46,'Salary -Dec-2024 (Full)'!$B$6:$AE$383,18,0)</f>
        <v>0</v>
      </c>
      <c r="T46" s="192">
        <f>VLOOKUP(B46,'Salary -Dec-2024 (Full)'!$B$6:$AE$383,19,0)</f>
        <v>0</v>
      </c>
      <c r="U46" s="337">
        <f>VLOOKUP(B46,'Salary -Dec-2024 (Full)'!$B$6:$AE$383,20,0)</f>
        <v>0</v>
      </c>
      <c r="V46" s="71">
        <f t="shared" si="136"/>
        <v>23000</v>
      </c>
      <c r="W46" s="192">
        <f>VLOOKUP(B46,'Salary -Dec-2024 (Full)'!$B$6:$AE$383,22,0)</f>
        <v>0</v>
      </c>
      <c r="X46" s="192">
        <f>VLOOKUP(B46,'Salary -Dec-2024 (Full)'!$B$6:$AE$383,23,0)</f>
        <v>0</v>
      </c>
      <c r="Y46" s="337">
        <f>VLOOKUP(B46,'Salary -Dec-2024 (Full)'!$B$6:$AE$383,24,0)</f>
        <v>0</v>
      </c>
      <c r="Z46" s="192">
        <f>VLOOKUP(B46,'Salary -Dec-2024 (Full)'!$B$6:$AE$383,25,0)</f>
        <v>2160</v>
      </c>
      <c r="AA46" s="192">
        <f>VLOOKUP(B46,'Salary -Dec-2024 (Full)'!$B$6:$AE$383,26,0)</f>
        <v>0</v>
      </c>
      <c r="AB46" s="377">
        <f t="shared" si="127"/>
        <v>2160</v>
      </c>
      <c r="AC46" s="71">
        <f t="shared" si="128"/>
        <v>20840</v>
      </c>
      <c r="AD46" s="346" t="str">
        <f>VLOOKUP(B46,'Salary -Dec-2024 (Full)'!$B$6:$AE$383,29,0)</f>
        <v>Bank</v>
      </c>
      <c r="AE46" s="346" t="str">
        <f>VLOOKUP(B46,'Salary -Dec-2024 (Full)'!$B$6:$AE$2853,30,0)</f>
        <v>200.103.0035874</v>
      </c>
      <c r="AH46" s="183"/>
      <c r="AI46" s="320"/>
    </row>
    <row r="47" spans="1:35" s="61" customFormat="1" ht="24" customHeight="1">
      <c r="A47" s="771">
        <v>21</v>
      </c>
      <c r="B47" s="392" t="s">
        <v>1302</v>
      </c>
      <c r="C47" s="64" t="str">
        <f>VLOOKUP(B47,'Salary -Dec-2024 (Full)'!$B$8:$AE$381,2,0)</f>
        <v>Alamgir</v>
      </c>
      <c r="D47" s="115" t="str">
        <f>VLOOKUP(B47,'Salary -Dec-2024 (Full)'!$B$8:$AE$381,3,0)</f>
        <v>Territory Sales Officer</v>
      </c>
      <c r="E47" s="65" t="str">
        <f>VLOOKUP(B47,'Salary -Dec-2024 (Full)'!$B$8:$AE$381,4,0)</f>
        <v>Pesticide</v>
      </c>
      <c r="F47" s="265">
        <f>VLOOKUP(B47,'Salary -Dec-2024 (Full)'!$B$8:$AE$381,5,0)</f>
        <v>45398</v>
      </c>
      <c r="G47" s="66">
        <f>VLOOKUP(B47,'Salary -Dec-2024 (Full)'!$B$8:$AE$381,6,0)</f>
        <v>31</v>
      </c>
      <c r="H47" s="67">
        <f>VLOOKUP(B47,'Salary -Dec-2024 (Full)'!$B$8:$AE$381,7,0)</f>
        <v>0</v>
      </c>
      <c r="I47" s="66">
        <f t="shared" si="129"/>
        <v>31</v>
      </c>
      <c r="J47" s="67">
        <f t="shared" si="130"/>
        <v>741.93548387096769</v>
      </c>
      <c r="K47" s="192">
        <f>VLOOKUP(B47,'Salary -Dec-2024 (Full)'!$B$6:$AE$383,10,0)</f>
        <v>23000</v>
      </c>
      <c r="L47" s="68">
        <f t="shared" si="131"/>
        <v>13800</v>
      </c>
      <c r="M47" s="68">
        <f t="shared" si="132"/>
        <v>6900</v>
      </c>
      <c r="N47" s="68">
        <f t="shared" si="133"/>
        <v>1380</v>
      </c>
      <c r="O47" s="68">
        <f t="shared" si="134"/>
        <v>920</v>
      </c>
      <c r="P47" s="69"/>
      <c r="Q47" s="70">
        <f t="shared" si="135"/>
        <v>23000</v>
      </c>
      <c r="R47" s="70">
        <f>VLOOKUP(B47,'Salary -Dec-2024 (Full)'!$B$6:$AE$383,17,0)</f>
        <v>23000</v>
      </c>
      <c r="S47" s="192">
        <f>VLOOKUP(B47,'Salary -Dec-2024 (Full)'!$B$6:$AE$383,18,0)</f>
        <v>0</v>
      </c>
      <c r="T47" s="192">
        <f>VLOOKUP(B47,'Salary -Dec-2024 (Full)'!$B$6:$AE$383,19,0)</f>
        <v>0</v>
      </c>
      <c r="U47" s="337">
        <f>VLOOKUP(B47,'Salary -Dec-2024 (Full)'!$B$6:$AE$383,20,0)</f>
        <v>0</v>
      </c>
      <c r="V47" s="71">
        <f t="shared" si="136"/>
        <v>23000</v>
      </c>
      <c r="W47" s="192">
        <f>VLOOKUP(B47,'Salary -Dec-2024 (Full)'!$B$6:$AE$383,22,0)</f>
        <v>0</v>
      </c>
      <c r="X47" s="192">
        <f>VLOOKUP(B47,'Salary -Dec-2024 (Full)'!$B$6:$AE$383,23,0)</f>
        <v>0</v>
      </c>
      <c r="Y47" s="337">
        <f>VLOOKUP(B47,'Salary -Dec-2024 (Full)'!$B$6:$AE$383,24,0)</f>
        <v>0</v>
      </c>
      <c r="Z47" s="192">
        <f>VLOOKUP(B47,'Salary -Dec-2024 (Full)'!$B$6:$AE$383,25,0)</f>
        <v>0</v>
      </c>
      <c r="AA47" s="192">
        <f>VLOOKUP(B47,'Salary -Dec-2024 (Full)'!$B$6:$AE$383,26,0)</f>
        <v>0</v>
      </c>
      <c r="AB47" s="377">
        <f t="shared" si="127"/>
        <v>0</v>
      </c>
      <c r="AC47" s="71">
        <f t="shared" si="128"/>
        <v>23000</v>
      </c>
      <c r="AD47" s="346" t="str">
        <f>VLOOKUP(B47,'Salary -Dec-2024 (Full)'!$B$6:$AE$383,29,0)</f>
        <v>Bank</v>
      </c>
      <c r="AE47" s="346" t="str">
        <f>VLOOKUP(B47,'Salary -Dec-2024 (Full)'!$B$6:$AE$2853,30,0)</f>
        <v>219.103.0078933</v>
      </c>
      <c r="AH47" s="183"/>
      <c r="AI47" s="320"/>
    </row>
    <row r="48" spans="1:35" s="61" customFormat="1" ht="24" customHeight="1">
      <c r="A48" s="771">
        <v>22</v>
      </c>
      <c r="B48" s="392" t="s">
        <v>1304</v>
      </c>
      <c r="C48" s="64" t="str">
        <f>VLOOKUP(B48,'Salary -Dec-2024 (Full)'!$B$8:$AE$381,2,0)</f>
        <v>Md Amirul Islam</v>
      </c>
      <c r="D48" s="115" t="str">
        <f>VLOOKUP(B48,'Salary -Dec-2024 (Full)'!$B$8:$AE$381,3,0)</f>
        <v>Territory Sales Officer</v>
      </c>
      <c r="E48" s="65" t="str">
        <f>VLOOKUP(B48,'Salary -Dec-2024 (Full)'!$B$8:$AE$381,4,0)</f>
        <v>Pesticide</v>
      </c>
      <c r="F48" s="265">
        <f>VLOOKUP(B48,'Salary -Dec-2024 (Full)'!$B$8:$AE$381,5,0)</f>
        <v>45398</v>
      </c>
      <c r="G48" s="66">
        <f>VLOOKUP(B48,'Salary -Dec-2024 (Full)'!$B$8:$AE$381,6,0)</f>
        <v>31</v>
      </c>
      <c r="H48" s="67">
        <f>VLOOKUP(B48,'Salary -Dec-2024 (Full)'!$B$8:$AE$381,7,0)</f>
        <v>0</v>
      </c>
      <c r="I48" s="66">
        <f t="shared" si="129"/>
        <v>31</v>
      </c>
      <c r="J48" s="67">
        <f t="shared" si="130"/>
        <v>741.93548387096769</v>
      </c>
      <c r="K48" s="192">
        <f>VLOOKUP(B48,'Salary -Dec-2024 (Full)'!$B$6:$AE$383,10,0)</f>
        <v>23000</v>
      </c>
      <c r="L48" s="68">
        <f t="shared" si="131"/>
        <v>13800</v>
      </c>
      <c r="M48" s="68">
        <f t="shared" si="132"/>
        <v>6900</v>
      </c>
      <c r="N48" s="68">
        <f t="shared" si="133"/>
        <v>1380</v>
      </c>
      <c r="O48" s="68">
        <f t="shared" si="134"/>
        <v>920</v>
      </c>
      <c r="P48" s="69"/>
      <c r="Q48" s="70">
        <f t="shared" si="135"/>
        <v>23000</v>
      </c>
      <c r="R48" s="70">
        <f>VLOOKUP(B48,'Salary -Dec-2024 (Full)'!$B$6:$AE$383,17,0)</f>
        <v>23000</v>
      </c>
      <c r="S48" s="192">
        <f>VLOOKUP(B48,'Salary -Dec-2024 (Full)'!$B$6:$AE$383,18,0)</f>
        <v>0</v>
      </c>
      <c r="T48" s="192">
        <f>VLOOKUP(B48,'Salary -Dec-2024 (Full)'!$B$6:$AE$383,19,0)</f>
        <v>0</v>
      </c>
      <c r="U48" s="337">
        <f>VLOOKUP(B48,'Salary -Dec-2024 (Full)'!$B$6:$AE$383,20,0)</f>
        <v>0</v>
      </c>
      <c r="V48" s="71">
        <f t="shared" si="136"/>
        <v>23000</v>
      </c>
      <c r="W48" s="192">
        <f>VLOOKUP(B48,'Salary -Dec-2024 (Full)'!$B$6:$AE$383,22,0)</f>
        <v>0</v>
      </c>
      <c r="X48" s="192">
        <f>VLOOKUP(B48,'Salary -Dec-2024 (Full)'!$B$6:$AE$383,23,0)</f>
        <v>0</v>
      </c>
      <c r="Y48" s="337">
        <f>VLOOKUP(B48,'Salary -Dec-2024 (Full)'!$B$6:$AE$383,24,0)</f>
        <v>0</v>
      </c>
      <c r="Z48" s="192">
        <f>VLOOKUP(B48,'Salary -Dec-2024 (Full)'!$B$6:$AE$383,25,0)</f>
        <v>0</v>
      </c>
      <c r="AA48" s="192">
        <f>VLOOKUP(B48,'Salary -Dec-2024 (Full)'!$B$6:$AE$383,26,0)</f>
        <v>0</v>
      </c>
      <c r="AB48" s="377">
        <f t="shared" si="127"/>
        <v>0</v>
      </c>
      <c r="AC48" s="71">
        <f t="shared" si="128"/>
        <v>23000</v>
      </c>
      <c r="AD48" s="346" t="str">
        <f>VLOOKUP(B48,'Salary -Dec-2024 (Full)'!$B$6:$AE$383,29,0)</f>
        <v>Bank</v>
      </c>
      <c r="AE48" s="346" t="str">
        <f>VLOOKUP(B48,'Salary -Dec-2024 (Full)'!$B$6:$AE$2853,30,0)</f>
        <v>268.158.0063242</v>
      </c>
      <c r="AH48" s="183"/>
      <c r="AI48" s="320"/>
    </row>
    <row r="49" spans="1:35" s="61" customFormat="1" ht="24" customHeight="1">
      <c r="A49" s="771">
        <v>23</v>
      </c>
      <c r="B49" s="392" t="s">
        <v>1305</v>
      </c>
      <c r="C49" s="64" t="str">
        <f>VLOOKUP(B49,'Salary -Dec-2024 (Full)'!$B$8:$AE$381,2,0)</f>
        <v>Md Mithu Mia</v>
      </c>
      <c r="D49" s="115" t="str">
        <f>VLOOKUP(B49,'Salary -Dec-2024 (Full)'!$B$8:$AE$381,3,0)</f>
        <v>Territory Sales Officer</v>
      </c>
      <c r="E49" s="65" t="str">
        <f>VLOOKUP(B49,'Salary -Dec-2024 (Full)'!$B$8:$AE$381,4,0)</f>
        <v>Pesticide</v>
      </c>
      <c r="F49" s="265">
        <f>VLOOKUP(B49,'Salary -Dec-2024 (Full)'!$B$8:$AE$381,5,0)</f>
        <v>45398</v>
      </c>
      <c r="G49" s="66">
        <f>VLOOKUP(B49,'Salary -Dec-2024 (Full)'!$B$8:$AE$381,6,0)</f>
        <v>31</v>
      </c>
      <c r="H49" s="67">
        <f>VLOOKUP(B49,'Salary -Dec-2024 (Full)'!$B$8:$AE$381,7,0)</f>
        <v>0</v>
      </c>
      <c r="I49" s="66">
        <f t="shared" si="129"/>
        <v>31</v>
      </c>
      <c r="J49" s="67">
        <f t="shared" si="130"/>
        <v>741.93548387096769</v>
      </c>
      <c r="K49" s="192">
        <f>VLOOKUP(B49,'Salary -Dec-2024 (Full)'!$B$6:$AE$383,10,0)</f>
        <v>23000</v>
      </c>
      <c r="L49" s="68">
        <f t="shared" si="131"/>
        <v>13800</v>
      </c>
      <c r="M49" s="68">
        <f t="shared" si="132"/>
        <v>6900</v>
      </c>
      <c r="N49" s="68">
        <f t="shared" si="133"/>
        <v>1380</v>
      </c>
      <c r="O49" s="68">
        <f t="shared" si="134"/>
        <v>920</v>
      </c>
      <c r="P49" s="69"/>
      <c r="Q49" s="70">
        <f t="shared" si="135"/>
        <v>23000</v>
      </c>
      <c r="R49" s="70">
        <f>VLOOKUP(B49,'Salary -Dec-2024 (Full)'!$B$6:$AE$383,17,0)</f>
        <v>23000</v>
      </c>
      <c r="S49" s="192">
        <f>VLOOKUP(B49,'Salary -Dec-2024 (Full)'!$B$6:$AE$383,18,0)</f>
        <v>0</v>
      </c>
      <c r="T49" s="192">
        <f>VLOOKUP(B49,'Salary -Dec-2024 (Full)'!$B$6:$AE$383,19,0)</f>
        <v>0</v>
      </c>
      <c r="U49" s="337">
        <f>VLOOKUP(B49,'Salary -Dec-2024 (Full)'!$B$6:$AE$383,20,0)</f>
        <v>0</v>
      </c>
      <c r="V49" s="71">
        <f t="shared" si="136"/>
        <v>23000</v>
      </c>
      <c r="W49" s="192">
        <f>VLOOKUP(B49,'Salary -Dec-2024 (Full)'!$B$6:$AE$383,22,0)</f>
        <v>0</v>
      </c>
      <c r="X49" s="192">
        <f>VLOOKUP(B49,'Salary -Dec-2024 (Full)'!$B$6:$AE$383,23,0)</f>
        <v>0</v>
      </c>
      <c r="Y49" s="337">
        <f>VLOOKUP(B49,'Salary -Dec-2024 (Full)'!$B$6:$AE$383,24,0)</f>
        <v>0</v>
      </c>
      <c r="Z49" s="192">
        <f>VLOOKUP(B49,'Salary -Dec-2024 (Full)'!$B$6:$AE$383,25,0)</f>
        <v>2175</v>
      </c>
      <c r="AA49" s="192">
        <f>VLOOKUP(B49,'Salary -Dec-2024 (Full)'!$B$6:$AE$383,26,0)</f>
        <v>0</v>
      </c>
      <c r="AB49" s="377">
        <f t="shared" si="127"/>
        <v>2175</v>
      </c>
      <c r="AC49" s="71">
        <f t="shared" si="128"/>
        <v>20825</v>
      </c>
      <c r="AD49" s="346" t="str">
        <f>VLOOKUP(B49,'Salary -Dec-2024 (Full)'!$B$6:$AE$383,29,0)</f>
        <v>Bank</v>
      </c>
      <c r="AE49" s="346" t="str">
        <f>VLOOKUP(B49,'Salary -Dec-2024 (Full)'!$B$6:$AE$2853,30,0)</f>
        <v>232.158.0075516</v>
      </c>
      <c r="AH49" s="183"/>
      <c r="AI49" s="320"/>
    </row>
    <row r="50" spans="1:35" s="61" customFormat="1" ht="24" customHeight="1">
      <c r="A50" s="771">
        <v>24</v>
      </c>
      <c r="B50" s="392" t="s">
        <v>1307</v>
      </c>
      <c r="C50" s="64" t="str">
        <f>VLOOKUP(B50,'Salary -Dec-2024 (Full)'!$B$8:$AE$381,2,0)</f>
        <v>Md Nura Alam</v>
      </c>
      <c r="D50" s="115" t="str">
        <f>VLOOKUP(B50,'Salary -Dec-2024 (Full)'!$B$8:$AE$381,3,0)</f>
        <v>Assistant Territory Sales officer</v>
      </c>
      <c r="E50" s="65" t="str">
        <f>VLOOKUP(B50,'Salary -Dec-2024 (Full)'!$B$8:$AE$381,4,0)</f>
        <v>Pesticide</v>
      </c>
      <c r="F50" s="265">
        <f>VLOOKUP(B50,'Salary -Dec-2024 (Full)'!$B$8:$AE$381,5,0)</f>
        <v>45398</v>
      </c>
      <c r="G50" s="66">
        <f>VLOOKUP(B50,'Salary -Dec-2024 (Full)'!$B$8:$AE$381,6,0)</f>
        <v>31</v>
      </c>
      <c r="H50" s="67">
        <f>VLOOKUP(B50,'Salary -Dec-2024 (Full)'!$B$8:$AE$381,7,0)</f>
        <v>0</v>
      </c>
      <c r="I50" s="66">
        <f t="shared" si="129"/>
        <v>31</v>
      </c>
      <c r="J50" s="67">
        <f t="shared" si="130"/>
        <v>580.64516129032256</v>
      </c>
      <c r="K50" s="192">
        <f>VLOOKUP(B50,'Salary -Dec-2024 (Full)'!$B$6:$AE$383,10,0)</f>
        <v>18000</v>
      </c>
      <c r="L50" s="68">
        <f t="shared" si="131"/>
        <v>10800</v>
      </c>
      <c r="M50" s="68">
        <f t="shared" si="132"/>
        <v>5400</v>
      </c>
      <c r="N50" s="68">
        <f t="shared" si="133"/>
        <v>1080</v>
      </c>
      <c r="O50" s="68">
        <f t="shared" si="134"/>
        <v>720</v>
      </c>
      <c r="P50" s="69"/>
      <c r="Q50" s="70">
        <f t="shared" si="135"/>
        <v>18000</v>
      </c>
      <c r="R50" s="70">
        <f>VLOOKUP(B50,'Salary -Dec-2024 (Full)'!$B$6:$AE$383,17,0)</f>
        <v>18000</v>
      </c>
      <c r="S50" s="192">
        <f>VLOOKUP(B50,'Salary -Dec-2024 (Full)'!$B$6:$AE$383,18,0)</f>
        <v>0</v>
      </c>
      <c r="T50" s="192">
        <f>VLOOKUP(B50,'Salary -Dec-2024 (Full)'!$B$6:$AE$383,19,0)</f>
        <v>0</v>
      </c>
      <c r="U50" s="337">
        <f>VLOOKUP(B50,'Salary -Dec-2024 (Full)'!$B$6:$AE$383,20,0)</f>
        <v>0</v>
      </c>
      <c r="V50" s="71">
        <f t="shared" si="136"/>
        <v>18000</v>
      </c>
      <c r="W50" s="192">
        <f>VLOOKUP(B50,'Salary -Dec-2024 (Full)'!$B$6:$AE$383,22,0)</f>
        <v>0</v>
      </c>
      <c r="X50" s="192">
        <f>VLOOKUP(B50,'Salary -Dec-2024 (Full)'!$B$6:$AE$383,23,0)</f>
        <v>0</v>
      </c>
      <c r="Y50" s="337">
        <f>VLOOKUP(B50,'Salary -Dec-2024 (Full)'!$B$6:$AE$383,24,0)</f>
        <v>0</v>
      </c>
      <c r="Z50" s="192">
        <f>VLOOKUP(B50,'Salary -Dec-2024 (Full)'!$B$6:$AE$383,25,0)</f>
        <v>0</v>
      </c>
      <c r="AA50" s="192">
        <f>VLOOKUP(B50,'Salary -Dec-2024 (Full)'!$B$6:$AE$383,26,0)</f>
        <v>0</v>
      </c>
      <c r="AB50" s="377">
        <f t="shared" si="127"/>
        <v>0</v>
      </c>
      <c r="AC50" s="71">
        <f t="shared" si="128"/>
        <v>18000</v>
      </c>
      <c r="AD50" s="346" t="str">
        <f>VLOOKUP(B50,'Salary -Dec-2024 (Full)'!$B$6:$AE$383,29,0)</f>
        <v>Bank</v>
      </c>
      <c r="AE50" s="346" t="str">
        <f>VLOOKUP(B50,'Salary -Dec-2024 (Full)'!$B$6:$AE$2853,30,0)</f>
        <v>296.158.0075000</v>
      </c>
      <c r="AH50" s="183"/>
      <c r="AI50" s="320"/>
    </row>
    <row r="51" spans="1:35" s="61" customFormat="1" ht="24" customHeight="1">
      <c r="A51" s="771">
        <v>25</v>
      </c>
      <c r="B51" s="392" t="s">
        <v>1309</v>
      </c>
      <c r="C51" s="64" t="str">
        <f>VLOOKUP(B51,'Salary -Dec-2024 (Full)'!$B$8:$AE$381,2,0)</f>
        <v>Md Ariful Islam</v>
      </c>
      <c r="D51" s="115" t="str">
        <f>VLOOKUP(B51,'Salary -Dec-2024 (Full)'!$B$8:$AE$381,3,0)</f>
        <v>Assistant Territory Sales officer</v>
      </c>
      <c r="E51" s="65" t="str">
        <f>VLOOKUP(B51,'Salary -Dec-2024 (Full)'!$B$8:$AE$381,4,0)</f>
        <v>Pesticide</v>
      </c>
      <c r="F51" s="265">
        <f>VLOOKUP(B51,'Salary -Dec-2024 (Full)'!$B$8:$AE$381,5,0)</f>
        <v>45398</v>
      </c>
      <c r="G51" s="66">
        <f>VLOOKUP(B51,'Salary -Dec-2024 (Full)'!$B$8:$AE$381,6,0)</f>
        <v>31</v>
      </c>
      <c r="H51" s="67">
        <f>VLOOKUP(B51,'Salary -Dec-2024 (Full)'!$B$8:$AE$381,7,0)</f>
        <v>0</v>
      </c>
      <c r="I51" s="66">
        <f t="shared" si="129"/>
        <v>31</v>
      </c>
      <c r="J51" s="67">
        <f t="shared" si="130"/>
        <v>580.64516129032256</v>
      </c>
      <c r="K51" s="192">
        <f>VLOOKUP(B51,'Salary -Dec-2024 (Full)'!$B$6:$AE$383,10,0)</f>
        <v>18000</v>
      </c>
      <c r="L51" s="68">
        <f t="shared" si="131"/>
        <v>10800</v>
      </c>
      <c r="M51" s="68">
        <f t="shared" si="132"/>
        <v>5400</v>
      </c>
      <c r="N51" s="68">
        <f t="shared" si="133"/>
        <v>1080</v>
      </c>
      <c r="O51" s="68">
        <f t="shared" si="134"/>
        <v>720</v>
      </c>
      <c r="P51" s="69"/>
      <c r="Q51" s="70">
        <f t="shared" si="135"/>
        <v>18000</v>
      </c>
      <c r="R51" s="70">
        <f>VLOOKUP(B51,'Salary -Dec-2024 (Full)'!$B$6:$AE$383,17,0)</f>
        <v>18000</v>
      </c>
      <c r="S51" s="192">
        <f>VLOOKUP(B51,'Salary -Dec-2024 (Full)'!$B$6:$AE$383,18,0)</f>
        <v>0</v>
      </c>
      <c r="T51" s="192">
        <f>VLOOKUP(B51,'Salary -Dec-2024 (Full)'!$B$6:$AE$383,19,0)</f>
        <v>0</v>
      </c>
      <c r="U51" s="337">
        <f>VLOOKUP(B51,'Salary -Dec-2024 (Full)'!$B$6:$AE$383,20,0)</f>
        <v>0</v>
      </c>
      <c r="V51" s="71">
        <f t="shared" si="136"/>
        <v>18000</v>
      </c>
      <c r="W51" s="192">
        <f>VLOOKUP(B51,'Salary -Dec-2024 (Full)'!$B$6:$AE$383,22,0)</f>
        <v>0</v>
      </c>
      <c r="X51" s="192">
        <f>VLOOKUP(B51,'Salary -Dec-2024 (Full)'!$B$6:$AE$383,23,0)</f>
        <v>0</v>
      </c>
      <c r="Y51" s="337">
        <f>VLOOKUP(B51,'Salary -Dec-2024 (Full)'!$B$6:$AE$383,24,0)</f>
        <v>0</v>
      </c>
      <c r="Z51" s="192">
        <f>VLOOKUP(B51,'Salary -Dec-2024 (Full)'!$B$6:$AE$383,25,0)</f>
        <v>2160</v>
      </c>
      <c r="AA51" s="192">
        <f>VLOOKUP(B51,'Salary -Dec-2024 (Full)'!$B$6:$AE$383,26,0)</f>
        <v>0</v>
      </c>
      <c r="AB51" s="377">
        <f t="shared" si="127"/>
        <v>2160</v>
      </c>
      <c r="AC51" s="71">
        <f t="shared" si="128"/>
        <v>15840</v>
      </c>
      <c r="AD51" s="346" t="str">
        <f>VLOOKUP(B51,'Salary -Dec-2024 (Full)'!$B$6:$AE$383,29,0)</f>
        <v>Bank</v>
      </c>
      <c r="AE51" s="346" t="str">
        <f>VLOOKUP(B51,'Salary -Dec-2024 (Full)'!$B$6:$AE$2853,30,0)</f>
        <v>156.158.0130434</v>
      </c>
      <c r="AH51" s="183"/>
      <c r="AI51" s="320"/>
    </row>
    <row r="52" spans="1:35" s="61" customFormat="1" ht="22.5" customHeight="1">
      <c r="A52" s="771">
        <v>26</v>
      </c>
      <c r="B52" s="392" t="s">
        <v>1311</v>
      </c>
      <c r="C52" s="64" t="str">
        <f>VLOOKUP(B52,'Salary -Dec-2024 (Full)'!$B$8:$AE$381,2,0)</f>
        <v>Md Kabir Hosen</v>
      </c>
      <c r="D52" s="115" t="str">
        <f>VLOOKUP(B52,'Salary -Dec-2024 (Full)'!$B$8:$AE$381,3,0)</f>
        <v>Territory Sales Officer</v>
      </c>
      <c r="E52" s="65" t="str">
        <f>VLOOKUP(B52,'Salary -Dec-2024 (Full)'!$B$8:$AE$381,4,0)</f>
        <v>Pesticide</v>
      </c>
      <c r="F52" s="265">
        <f>VLOOKUP(B52,'Salary -Dec-2024 (Full)'!$B$8:$AE$381,5,0)</f>
        <v>45398</v>
      </c>
      <c r="G52" s="66">
        <f>VLOOKUP(B52,'Salary -Dec-2024 (Full)'!$B$8:$AE$381,6,0)</f>
        <v>31</v>
      </c>
      <c r="H52" s="67">
        <f>VLOOKUP(B52,'Salary -Dec-2024 (Full)'!$B$8:$AE$381,7,0)</f>
        <v>0</v>
      </c>
      <c r="I52" s="66">
        <f t="shared" si="129"/>
        <v>31</v>
      </c>
      <c r="J52" s="67">
        <f t="shared" si="130"/>
        <v>645.16129032258061</v>
      </c>
      <c r="K52" s="192">
        <f>VLOOKUP(B52,'Salary -Dec-2024 (Full)'!$B$6:$AE$383,10,0)</f>
        <v>20000</v>
      </c>
      <c r="L52" s="68">
        <f t="shared" si="131"/>
        <v>12000</v>
      </c>
      <c r="M52" s="68">
        <f t="shared" si="132"/>
        <v>6000</v>
      </c>
      <c r="N52" s="68">
        <f t="shared" si="133"/>
        <v>1200</v>
      </c>
      <c r="O52" s="68">
        <f t="shared" si="134"/>
        <v>800</v>
      </c>
      <c r="P52" s="69"/>
      <c r="Q52" s="70">
        <f t="shared" si="135"/>
        <v>20000</v>
      </c>
      <c r="R52" s="70">
        <f>VLOOKUP(B52,'Salary -Dec-2024 (Full)'!$B$6:$AE$383,17,0)</f>
        <v>20000</v>
      </c>
      <c r="S52" s="192">
        <f>VLOOKUP(B52,'Salary -Dec-2024 (Full)'!$B$6:$AE$383,18,0)</f>
        <v>0</v>
      </c>
      <c r="T52" s="192">
        <f>VLOOKUP(B52,'Salary -Dec-2024 (Full)'!$B$6:$AE$383,19,0)</f>
        <v>0</v>
      </c>
      <c r="U52" s="337">
        <f>VLOOKUP(B52,'Salary -Dec-2024 (Full)'!$B$6:$AE$383,20,0)</f>
        <v>0</v>
      </c>
      <c r="V52" s="71">
        <f t="shared" si="136"/>
        <v>20000</v>
      </c>
      <c r="W52" s="192">
        <f>VLOOKUP(B52,'Salary -Dec-2024 (Full)'!$B$6:$AE$383,22,0)</f>
        <v>0</v>
      </c>
      <c r="X52" s="192">
        <f>VLOOKUP(B52,'Salary -Dec-2024 (Full)'!$B$6:$AE$383,23,0)</f>
        <v>0</v>
      </c>
      <c r="Y52" s="337">
        <f>VLOOKUP(B52,'Salary -Dec-2024 (Full)'!$B$6:$AE$383,24,0)</f>
        <v>0</v>
      </c>
      <c r="Z52" s="192">
        <f>VLOOKUP(B52,'Salary -Dec-2024 (Full)'!$B$6:$AE$383,25,0)</f>
        <v>2175</v>
      </c>
      <c r="AA52" s="192">
        <f>VLOOKUP(B52,'Salary -Dec-2024 (Full)'!$B$6:$AE$383,26,0)</f>
        <v>0</v>
      </c>
      <c r="AB52" s="377">
        <f t="shared" si="127"/>
        <v>2175</v>
      </c>
      <c r="AC52" s="71">
        <f t="shared" si="128"/>
        <v>17825</v>
      </c>
      <c r="AD52" s="346" t="str">
        <f>VLOOKUP(B52,'Salary -Dec-2024 (Full)'!$B$6:$AE$383,29,0)</f>
        <v>Bank</v>
      </c>
      <c r="AE52" s="346" t="str">
        <f>VLOOKUP(B52,'Salary -Dec-2024 (Full)'!$B$6:$AE$2853,30,0)</f>
        <v>268.158.0019315</v>
      </c>
      <c r="AH52" s="183"/>
      <c r="AI52" s="320"/>
    </row>
    <row r="53" spans="1:35" s="61" customFormat="1" ht="30" customHeight="1">
      <c r="A53" s="771">
        <v>27</v>
      </c>
      <c r="B53" s="392" t="s">
        <v>1373</v>
      </c>
      <c r="C53" s="64" t="str">
        <f>VLOOKUP(B53,'Salary -Dec-2024 (Full)'!$B$8:$AE$381,2,0)</f>
        <v>Md Mogal Miah</v>
      </c>
      <c r="D53" s="115" t="str">
        <f>VLOOKUP(B53,'Salary -Dec-2024 (Full)'!$B$8:$AE$381,3,0)</f>
        <v>Sr. Territory Sales Officer</v>
      </c>
      <c r="E53" s="65" t="str">
        <f>VLOOKUP(B53,'Salary -Dec-2024 (Full)'!$B$8:$AE$381,4,0)</f>
        <v>Pesticide</v>
      </c>
      <c r="F53" s="265">
        <f>VLOOKUP(B53,'Salary -Dec-2024 (Full)'!$B$8:$AE$381,5,0)</f>
        <v>45468</v>
      </c>
      <c r="G53" s="66">
        <f>VLOOKUP(B53,'Salary -Dec-2024 (Full)'!$B$8:$AE$381,6,0)</f>
        <v>31</v>
      </c>
      <c r="H53" s="67">
        <f>VLOOKUP(B53,'Salary -Dec-2024 (Full)'!$B$8:$AE$381,7,0)</f>
        <v>0</v>
      </c>
      <c r="I53" s="66">
        <f t="shared" ref="I53" si="137">G53-H53</f>
        <v>31</v>
      </c>
      <c r="J53" s="67">
        <f t="shared" ref="J53" si="138">Q53/G53</f>
        <v>806.45161290322585</v>
      </c>
      <c r="K53" s="192">
        <f>VLOOKUP(B53,'Salary -Dec-2024 (Full)'!$B$6:$AE$383,10,0)</f>
        <v>25000</v>
      </c>
      <c r="L53" s="68">
        <f t="shared" ref="L53" si="139">K53*60%</f>
        <v>15000</v>
      </c>
      <c r="M53" s="68">
        <f t="shared" ref="M53" si="140">K53*30%</f>
        <v>7500</v>
      </c>
      <c r="N53" s="68">
        <f t="shared" ref="N53" si="141">K53*6%</f>
        <v>1500</v>
      </c>
      <c r="O53" s="68">
        <f t="shared" ref="O53" si="142">K53*4%</f>
        <v>1000</v>
      </c>
      <c r="P53" s="69"/>
      <c r="Q53" s="70">
        <f t="shared" ref="Q53" si="143">SUM(L53:P53)</f>
        <v>25000</v>
      </c>
      <c r="R53" s="70">
        <f>VLOOKUP(B53,'Salary -Dec-2024 (Full)'!$B$6:$AE$383,17,0)</f>
        <v>25000</v>
      </c>
      <c r="S53" s="192">
        <f>VLOOKUP(B53,'Salary -Dec-2024 (Full)'!$B$6:$AE$383,18,0)</f>
        <v>0</v>
      </c>
      <c r="T53" s="192">
        <f>VLOOKUP(B53,'Salary -Dec-2024 (Full)'!$B$6:$AE$383,19,0)</f>
        <v>0</v>
      </c>
      <c r="U53" s="337">
        <f>VLOOKUP(B53,'Salary -Dec-2024 (Full)'!$B$6:$AE$383,20,0)</f>
        <v>0</v>
      </c>
      <c r="V53" s="71">
        <f t="shared" ref="V53" si="144">SUM(R53:U53)</f>
        <v>25000</v>
      </c>
      <c r="W53" s="192">
        <f>VLOOKUP(B53,'Salary -Dec-2024 (Full)'!$B$6:$AE$383,22,0)</f>
        <v>0</v>
      </c>
      <c r="X53" s="192">
        <f>VLOOKUP(B53,'Salary -Dec-2024 (Full)'!$B$6:$AE$383,23,0)</f>
        <v>0</v>
      </c>
      <c r="Y53" s="337">
        <f>VLOOKUP(B53,'Salary -Dec-2024 (Full)'!$B$6:$AE$383,24,0)</f>
        <v>0</v>
      </c>
      <c r="Z53" s="192">
        <f>VLOOKUP(B53,'Salary -Dec-2024 (Full)'!$B$6:$AE$383,25,0)</f>
        <v>0</v>
      </c>
      <c r="AA53" s="192">
        <f>VLOOKUP(B53,'Salary -Dec-2024 (Full)'!$B$6:$AE$383,26,0)</f>
        <v>0</v>
      </c>
      <c r="AB53" s="377">
        <f t="shared" ref="AB53" si="145">SUM(W53:AA53)</f>
        <v>0</v>
      </c>
      <c r="AC53" s="71">
        <f t="shared" ref="AC53" si="146">ROUND(V53-AB53,0)</f>
        <v>25000</v>
      </c>
      <c r="AD53" s="346" t="str">
        <f>VLOOKUP(B53,'Salary -Dec-2024 (Full)'!$B$6:$AE$383,29,0)</f>
        <v>Bank</v>
      </c>
      <c r="AE53" s="346" t="str">
        <f>VLOOKUP(B53,'Salary -Dec-2024 (Full)'!$B$6:$AE$2853,30,0)</f>
        <v>249.103.0077051</v>
      </c>
      <c r="AH53" s="183"/>
      <c r="AI53" s="320"/>
    </row>
    <row r="54" spans="1:35" s="61" customFormat="1" ht="22.5" customHeight="1">
      <c r="A54" s="771">
        <v>28</v>
      </c>
      <c r="B54" s="392" t="s">
        <v>1431</v>
      </c>
      <c r="C54" s="64" t="str">
        <f>VLOOKUP(B54,'Salary -Dec-2024 (Full)'!$B$8:$AE$381,2,0)</f>
        <v>Md. Alamgir Hossain</v>
      </c>
      <c r="D54" s="115" t="str">
        <f>VLOOKUP(B54,'Salary -Dec-2024 (Full)'!$B$8:$AE$381,3,0)</f>
        <v>Sr. Territory Manager</v>
      </c>
      <c r="E54" s="65" t="str">
        <f>VLOOKUP(B54,'Salary -Dec-2024 (Full)'!$B$8:$AE$381,4,0)</f>
        <v>Pesticide &amp; Fertilizer</v>
      </c>
      <c r="F54" s="265">
        <f>VLOOKUP(B54,'Salary -Dec-2024 (Full)'!$B$8:$AE$381,5,0)</f>
        <v>45475</v>
      </c>
      <c r="G54" s="66">
        <f>VLOOKUP(B54,'Salary -Dec-2024 (Full)'!$B$8:$AE$381,6,0)</f>
        <v>31</v>
      </c>
      <c r="H54" s="67">
        <f>VLOOKUP(B54,'Salary -Dec-2024 (Full)'!$B$8:$AE$381,7,0)</f>
        <v>0</v>
      </c>
      <c r="I54" s="66">
        <f t="shared" ref="I54:I60" si="147">G54-H54</f>
        <v>31</v>
      </c>
      <c r="J54" s="67">
        <f t="shared" ref="J54:J60" si="148">Q54/G54</f>
        <v>1419.3548387096773</v>
      </c>
      <c r="K54" s="192">
        <f>VLOOKUP(B54,'Salary -Dec-2024 (Full)'!$B$6:$AE$383,10,0)</f>
        <v>44000</v>
      </c>
      <c r="L54" s="68">
        <f t="shared" ref="L54:L60" si="149">K54*60%</f>
        <v>26400</v>
      </c>
      <c r="M54" s="68">
        <f t="shared" ref="M54:M60" si="150">K54*30%</f>
        <v>13200</v>
      </c>
      <c r="N54" s="68">
        <f t="shared" ref="N54:N60" si="151">K54*6%</f>
        <v>2640</v>
      </c>
      <c r="O54" s="68">
        <f t="shared" ref="O54:O60" si="152">K54*4%</f>
        <v>1760</v>
      </c>
      <c r="P54" s="69"/>
      <c r="Q54" s="70">
        <f t="shared" ref="Q54:Q60" si="153">SUM(L54:P54)</f>
        <v>44000</v>
      </c>
      <c r="R54" s="70">
        <f>VLOOKUP(B54,'Salary -Dec-2024 (Full)'!$B$6:$AE$383,17,0)</f>
        <v>44000</v>
      </c>
      <c r="S54" s="192">
        <f>VLOOKUP(B54,'Salary -Dec-2024 (Full)'!$B$6:$AE$383,18,0)</f>
        <v>0</v>
      </c>
      <c r="T54" s="192">
        <f>VLOOKUP(B54,'Salary -Dec-2024 (Full)'!$B$6:$AE$383,19,0)</f>
        <v>0</v>
      </c>
      <c r="U54" s="337">
        <f>VLOOKUP(B54,'Salary -Dec-2024 (Full)'!$B$6:$AE$383,20,0)</f>
        <v>0</v>
      </c>
      <c r="V54" s="71">
        <f t="shared" ref="V54:V60" si="154">SUM(R54:U54)</f>
        <v>44000</v>
      </c>
      <c r="W54" s="192">
        <f>VLOOKUP(B54,'Salary -Dec-2024 (Full)'!$B$6:$AE$383,22,0)</f>
        <v>417</v>
      </c>
      <c r="X54" s="192">
        <f>VLOOKUP(B54,'Salary -Dec-2024 (Full)'!$B$6:$AE$383,23,0)</f>
        <v>0</v>
      </c>
      <c r="Y54" s="337">
        <f>VLOOKUP(B54,'Salary -Dec-2024 (Full)'!$B$6:$AE$383,24,0)</f>
        <v>0</v>
      </c>
      <c r="Z54" s="192">
        <f>VLOOKUP(B54,'Salary -Dec-2024 (Full)'!$B$6:$AE$383,25,0)</f>
        <v>0</v>
      </c>
      <c r="AA54" s="192">
        <f>VLOOKUP(B54,'Salary -Dec-2024 (Full)'!$B$6:$AE$383,26,0)</f>
        <v>0</v>
      </c>
      <c r="AB54" s="377">
        <f t="shared" ref="AB54:AB60" si="155">SUM(W54:AA54)</f>
        <v>417</v>
      </c>
      <c r="AC54" s="71">
        <f t="shared" ref="AC54:AC60" si="156">ROUND(V54-AB54,0)</f>
        <v>43583</v>
      </c>
      <c r="AD54" s="346" t="str">
        <f>VLOOKUP(B54,'Salary -Dec-2024 (Full)'!$B$6:$AE$383,29,0)</f>
        <v>Bank</v>
      </c>
      <c r="AE54" s="346" t="str">
        <f>VLOOKUP(B54,'Salary -Dec-2024 (Full)'!$B$6:$AE$2853,30,0)</f>
        <v>163.103.0198638</v>
      </c>
      <c r="AH54" s="183"/>
      <c r="AI54" s="320"/>
    </row>
    <row r="55" spans="1:35" s="61" customFormat="1" ht="25.5" customHeight="1">
      <c r="A55" s="771">
        <v>29</v>
      </c>
      <c r="B55" s="392" t="s">
        <v>1432</v>
      </c>
      <c r="C55" s="64" t="str">
        <f>VLOOKUP(B55,'Salary -Dec-2024 (Full)'!$B$8:$AE$381,2,0)</f>
        <v>Mohammod Rokon Ali</v>
      </c>
      <c r="D55" s="115" t="str">
        <f>VLOOKUP(B55,'Salary -Dec-2024 (Full)'!$B$8:$AE$381,3,0)</f>
        <v>Sr. Territory Sales Officer</v>
      </c>
      <c r="E55" s="65" t="str">
        <f>VLOOKUP(B55,'Salary -Dec-2024 (Full)'!$B$8:$AE$381,4,0)</f>
        <v>Pesticide &amp; Fertilizer</v>
      </c>
      <c r="F55" s="265">
        <f>VLOOKUP(B55,'Salary -Dec-2024 (Full)'!$B$8:$AE$381,5,0)</f>
        <v>45475</v>
      </c>
      <c r="G55" s="66">
        <f>VLOOKUP(B55,'Salary -Dec-2024 (Full)'!$B$8:$AE$381,6,0)</f>
        <v>31</v>
      </c>
      <c r="H55" s="67">
        <f>VLOOKUP(B55,'Salary -Dec-2024 (Full)'!$B$8:$AE$381,7,0)</f>
        <v>0</v>
      </c>
      <c r="I55" s="66">
        <f t="shared" si="147"/>
        <v>31</v>
      </c>
      <c r="J55" s="67">
        <f t="shared" si="148"/>
        <v>741.93548387096769</v>
      </c>
      <c r="K55" s="192">
        <f>VLOOKUP(B55,'Salary -Dec-2024 (Full)'!$B$6:$AE$383,10,0)</f>
        <v>23000</v>
      </c>
      <c r="L55" s="68">
        <f t="shared" si="149"/>
        <v>13800</v>
      </c>
      <c r="M55" s="68">
        <f t="shared" si="150"/>
        <v>6900</v>
      </c>
      <c r="N55" s="68">
        <f t="shared" si="151"/>
        <v>1380</v>
      </c>
      <c r="O55" s="68">
        <f t="shared" si="152"/>
        <v>920</v>
      </c>
      <c r="P55" s="69"/>
      <c r="Q55" s="70">
        <f t="shared" si="153"/>
        <v>23000</v>
      </c>
      <c r="R55" s="70">
        <f>VLOOKUP(B55,'Salary -Dec-2024 (Full)'!$B$6:$AE$383,17,0)</f>
        <v>23000</v>
      </c>
      <c r="S55" s="192">
        <f>VLOOKUP(B55,'Salary -Dec-2024 (Full)'!$B$6:$AE$383,18,0)</f>
        <v>0</v>
      </c>
      <c r="T55" s="192">
        <f>VLOOKUP(B55,'Salary -Dec-2024 (Full)'!$B$6:$AE$383,19,0)</f>
        <v>0</v>
      </c>
      <c r="U55" s="337">
        <f>VLOOKUP(B55,'Salary -Dec-2024 (Full)'!$B$6:$AE$383,20,0)</f>
        <v>0</v>
      </c>
      <c r="V55" s="71">
        <f t="shared" si="154"/>
        <v>23000</v>
      </c>
      <c r="W55" s="192">
        <f>VLOOKUP(B55,'Salary -Dec-2024 (Full)'!$B$6:$AE$383,22,0)</f>
        <v>0</v>
      </c>
      <c r="X55" s="192">
        <f>VLOOKUP(B55,'Salary -Dec-2024 (Full)'!$B$6:$AE$383,23,0)</f>
        <v>0</v>
      </c>
      <c r="Y55" s="337">
        <f>VLOOKUP(B55,'Salary -Dec-2024 (Full)'!$B$6:$AE$383,24,0)</f>
        <v>0</v>
      </c>
      <c r="Z55" s="192">
        <f>VLOOKUP(B55,'Salary -Dec-2024 (Full)'!$B$6:$AE$383,25,0)</f>
        <v>0</v>
      </c>
      <c r="AA55" s="192">
        <f>VLOOKUP(B55,'Salary -Dec-2024 (Full)'!$B$6:$AE$383,26,0)</f>
        <v>0</v>
      </c>
      <c r="AB55" s="377">
        <f t="shared" si="155"/>
        <v>0</v>
      </c>
      <c r="AC55" s="71">
        <f t="shared" si="156"/>
        <v>23000</v>
      </c>
      <c r="AD55" s="346" t="str">
        <f>VLOOKUP(B55,'Salary -Dec-2024 (Full)'!$B$6:$AE$383,29,0)</f>
        <v>Bank</v>
      </c>
      <c r="AE55" s="346" t="str">
        <f>VLOOKUP(B55,'Salary -Dec-2024 (Full)'!$B$6:$AE$2853,30,0)</f>
        <v>168.103.0186275</v>
      </c>
      <c r="AH55" s="183"/>
      <c r="AI55" s="320"/>
    </row>
    <row r="56" spans="1:35" s="61" customFormat="1" ht="24" customHeight="1">
      <c r="A56" s="771">
        <v>30</v>
      </c>
      <c r="B56" s="392" t="s">
        <v>1434</v>
      </c>
      <c r="C56" s="64" t="str">
        <f>VLOOKUP(B56,'Salary -Dec-2024 (Full)'!$B$8:$AE$381,2,0)</f>
        <v>Md. Habibur Rahman</v>
      </c>
      <c r="D56" s="115" t="str">
        <f>VLOOKUP(B56,'Salary -Dec-2024 (Full)'!$B$8:$AE$381,3,0)</f>
        <v>Sr. Territory Sales Officer</v>
      </c>
      <c r="E56" s="65" t="str">
        <f>VLOOKUP(B56,'Salary -Dec-2024 (Full)'!$B$8:$AE$381,4,0)</f>
        <v>Pesticide &amp; Fertilizer</v>
      </c>
      <c r="F56" s="265">
        <f>VLOOKUP(B56,'Salary -Dec-2024 (Full)'!$B$8:$AE$381,5,0)</f>
        <v>45475</v>
      </c>
      <c r="G56" s="66">
        <f>VLOOKUP(B56,'Salary -Dec-2024 (Full)'!$B$8:$AE$381,6,0)</f>
        <v>31</v>
      </c>
      <c r="H56" s="67">
        <f>VLOOKUP(B56,'Salary -Dec-2024 (Full)'!$B$8:$AE$381,7,0)</f>
        <v>0</v>
      </c>
      <c r="I56" s="66">
        <f t="shared" si="147"/>
        <v>31</v>
      </c>
      <c r="J56" s="67">
        <f t="shared" si="148"/>
        <v>838.70967741935488</v>
      </c>
      <c r="K56" s="192">
        <f>VLOOKUP(B56,'Salary -Dec-2024 (Full)'!$B$6:$AE$383,10,0)</f>
        <v>26000</v>
      </c>
      <c r="L56" s="68">
        <f t="shared" si="149"/>
        <v>15600</v>
      </c>
      <c r="M56" s="68">
        <f t="shared" si="150"/>
        <v>7800</v>
      </c>
      <c r="N56" s="68">
        <f t="shared" si="151"/>
        <v>1560</v>
      </c>
      <c r="O56" s="68">
        <f t="shared" si="152"/>
        <v>1040</v>
      </c>
      <c r="P56" s="69"/>
      <c r="Q56" s="70">
        <f t="shared" si="153"/>
        <v>26000</v>
      </c>
      <c r="R56" s="70">
        <f>VLOOKUP(B56,'Salary -Dec-2024 (Full)'!$B$6:$AE$383,17,0)</f>
        <v>26000</v>
      </c>
      <c r="S56" s="192">
        <f>VLOOKUP(B56,'Salary -Dec-2024 (Full)'!$B$6:$AE$383,18,0)</f>
        <v>0</v>
      </c>
      <c r="T56" s="192">
        <f>VLOOKUP(B56,'Salary -Dec-2024 (Full)'!$B$6:$AE$383,19,0)</f>
        <v>0</v>
      </c>
      <c r="U56" s="337">
        <f>VLOOKUP(B56,'Salary -Dec-2024 (Full)'!$B$6:$AE$383,20,0)</f>
        <v>0</v>
      </c>
      <c r="V56" s="71">
        <f t="shared" si="154"/>
        <v>26000</v>
      </c>
      <c r="W56" s="192">
        <f>VLOOKUP(B56,'Salary -Dec-2024 (Full)'!$B$6:$AE$383,22,0)</f>
        <v>0</v>
      </c>
      <c r="X56" s="192">
        <f>VLOOKUP(B56,'Salary -Dec-2024 (Full)'!$B$6:$AE$383,23,0)</f>
        <v>0</v>
      </c>
      <c r="Y56" s="337">
        <f>VLOOKUP(B56,'Salary -Dec-2024 (Full)'!$B$6:$AE$383,24,0)</f>
        <v>0</v>
      </c>
      <c r="Z56" s="192">
        <f>VLOOKUP(B56,'Salary -Dec-2024 (Full)'!$B$6:$AE$383,25,0)</f>
        <v>0</v>
      </c>
      <c r="AA56" s="192">
        <f>VLOOKUP(B56,'Salary -Dec-2024 (Full)'!$B$6:$AE$383,26,0)</f>
        <v>0</v>
      </c>
      <c r="AB56" s="377">
        <f t="shared" si="155"/>
        <v>0</v>
      </c>
      <c r="AC56" s="71">
        <f t="shared" si="156"/>
        <v>26000</v>
      </c>
      <c r="AD56" s="346" t="str">
        <f>VLOOKUP(B56,'Salary -Dec-2024 (Full)'!$B$6:$AE$383,29,0)</f>
        <v>Bank</v>
      </c>
      <c r="AE56" s="346" t="str">
        <f>VLOOKUP(B56,'Salary -Dec-2024 (Full)'!$B$6:$AE$2853,30,0)</f>
        <v>228.103.0050406</v>
      </c>
      <c r="AH56" s="183"/>
      <c r="AI56" s="320"/>
    </row>
    <row r="57" spans="1:35" s="61" customFormat="1" ht="25.5" customHeight="1">
      <c r="A57" s="771">
        <v>31</v>
      </c>
      <c r="B57" s="392" t="s">
        <v>1436</v>
      </c>
      <c r="C57" s="64" t="str">
        <f>VLOOKUP(B57,'Salary -Dec-2024 (Full)'!$B$8:$AE$381,2,0)</f>
        <v>M M Shariful Islam</v>
      </c>
      <c r="D57" s="115" t="str">
        <f>VLOOKUP(B57,'Salary -Dec-2024 (Full)'!$B$8:$AE$381,3,0)</f>
        <v>Sr. Territory Sales Officer</v>
      </c>
      <c r="E57" s="65" t="str">
        <f>VLOOKUP(B57,'Salary -Dec-2024 (Full)'!$B$8:$AE$381,4,0)</f>
        <v>Pesticide &amp; Fertilizer</v>
      </c>
      <c r="F57" s="265">
        <f>VLOOKUP(B57,'Salary -Dec-2024 (Full)'!$B$8:$AE$381,5,0)</f>
        <v>45475</v>
      </c>
      <c r="G57" s="66">
        <f>VLOOKUP(B57,'Salary -Dec-2024 (Full)'!$B$8:$AE$381,6,0)</f>
        <v>31</v>
      </c>
      <c r="H57" s="67">
        <f>VLOOKUP(B57,'Salary -Dec-2024 (Full)'!$B$8:$AE$381,7,0)</f>
        <v>0</v>
      </c>
      <c r="I57" s="66">
        <f t="shared" si="147"/>
        <v>31</v>
      </c>
      <c r="J57" s="67">
        <f t="shared" si="148"/>
        <v>774.19354838709683</v>
      </c>
      <c r="K57" s="192">
        <f>VLOOKUP(B57,'Salary -Dec-2024 (Full)'!$B$6:$AE$383,10,0)</f>
        <v>24000</v>
      </c>
      <c r="L57" s="68">
        <f t="shared" si="149"/>
        <v>14400</v>
      </c>
      <c r="M57" s="68">
        <f t="shared" si="150"/>
        <v>7200</v>
      </c>
      <c r="N57" s="68">
        <f t="shared" si="151"/>
        <v>1440</v>
      </c>
      <c r="O57" s="68">
        <f t="shared" si="152"/>
        <v>960</v>
      </c>
      <c r="P57" s="69"/>
      <c r="Q57" s="70">
        <f t="shared" si="153"/>
        <v>24000</v>
      </c>
      <c r="R57" s="70">
        <f>VLOOKUP(B57,'Salary -Dec-2024 (Full)'!$B$6:$AE$383,17,0)</f>
        <v>24000</v>
      </c>
      <c r="S57" s="192">
        <f>VLOOKUP(B57,'Salary -Dec-2024 (Full)'!$B$6:$AE$383,18,0)</f>
        <v>0</v>
      </c>
      <c r="T57" s="192">
        <f>VLOOKUP(B57,'Salary -Dec-2024 (Full)'!$B$6:$AE$383,19,0)</f>
        <v>0</v>
      </c>
      <c r="U57" s="337">
        <f>VLOOKUP(B57,'Salary -Dec-2024 (Full)'!$B$6:$AE$383,20,0)</f>
        <v>0</v>
      </c>
      <c r="V57" s="71">
        <f t="shared" si="154"/>
        <v>24000</v>
      </c>
      <c r="W57" s="192">
        <f>VLOOKUP(B57,'Salary -Dec-2024 (Full)'!$B$6:$AE$383,22,0)</f>
        <v>0</v>
      </c>
      <c r="X57" s="192">
        <f>VLOOKUP(B57,'Salary -Dec-2024 (Full)'!$B$6:$AE$383,23,0)</f>
        <v>0</v>
      </c>
      <c r="Y57" s="337">
        <f>VLOOKUP(B57,'Salary -Dec-2024 (Full)'!$B$6:$AE$383,24,0)</f>
        <v>0</v>
      </c>
      <c r="Z57" s="192">
        <f>VLOOKUP(B57,'Salary -Dec-2024 (Full)'!$B$6:$AE$383,25,0)</f>
        <v>0</v>
      </c>
      <c r="AA57" s="192">
        <f>VLOOKUP(B57,'Salary -Dec-2024 (Full)'!$B$6:$AE$383,26,0)</f>
        <v>0</v>
      </c>
      <c r="AB57" s="377">
        <f t="shared" si="155"/>
        <v>0</v>
      </c>
      <c r="AC57" s="71">
        <f t="shared" si="156"/>
        <v>24000</v>
      </c>
      <c r="AD57" s="346" t="str">
        <f>VLOOKUP(B57,'Salary -Dec-2024 (Full)'!$B$6:$AE$383,29,0)</f>
        <v>Bank</v>
      </c>
      <c r="AE57" s="346" t="str">
        <f>VLOOKUP(B57,'Salary -Dec-2024 (Full)'!$B$6:$AE$2853,30,0)</f>
        <v>163.158.0011296</v>
      </c>
      <c r="AH57" s="183"/>
      <c r="AI57" s="320"/>
    </row>
    <row r="58" spans="1:35" s="61" customFormat="1" ht="27.75" customHeight="1">
      <c r="A58" s="771">
        <v>32</v>
      </c>
      <c r="B58" s="392" t="s">
        <v>1438</v>
      </c>
      <c r="C58" s="64" t="str">
        <f>VLOOKUP(B58,'Salary -Dec-2024 (Full)'!$B$8:$AE$381,2,0)</f>
        <v>Md. Monirul Islam</v>
      </c>
      <c r="D58" s="115" t="str">
        <f>VLOOKUP(B58,'Salary -Dec-2024 (Full)'!$B$8:$AE$381,3,0)</f>
        <v>Sr. Territory Sales Officer</v>
      </c>
      <c r="E58" s="65" t="str">
        <f>VLOOKUP(B58,'Salary -Dec-2024 (Full)'!$B$8:$AE$381,4,0)</f>
        <v>Pesticide &amp; Fertilizer</v>
      </c>
      <c r="F58" s="265">
        <f>VLOOKUP(B58,'Salary -Dec-2024 (Full)'!$B$8:$AE$381,5,0)</f>
        <v>45475</v>
      </c>
      <c r="G58" s="66">
        <f>VLOOKUP(B58,'Salary -Dec-2024 (Full)'!$B$8:$AE$381,6,0)</f>
        <v>31</v>
      </c>
      <c r="H58" s="67">
        <f>VLOOKUP(B58,'Salary -Dec-2024 (Full)'!$B$8:$AE$381,7,0)</f>
        <v>0</v>
      </c>
      <c r="I58" s="66">
        <f t="shared" si="147"/>
        <v>31</v>
      </c>
      <c r="J58" s="67">
        <f t="shared" si="148"/>
        <v>774.19354838709683</v>
      </c>
      <c r="K58" s="192">
        <f>VLOOKUP(B58,'Salary -Dec-2024 (Full)'!$B$6:$AE$383,10,0)</f>
        <v>24000</v>
      </c>
      <c r="L58" s="68">
        <f t="shared" si="149"/>
        <v>14400</v>
      </c>
      <c r="M58" s="68">
        <f t="shared" si="150"/>
        <v>7200</v>
      </c>
      <c r="N58" s="68">
        <f t="shared" si="151"/>
        <v>1440</v>
      </c>
      <c r="O58" s="68">
        <f t="shared" si="152"/>
        <v>960</v>
      </c>
      <c r="P58" s="69"/>
      <c r="Q58" s="70">
        <f t="shared" si="153"/>
        <v>24000</v>
      </c>
      <c r="R58" s="70">
        <f>VLOOKUP(B58,'Salary -Dec-2024 (Full)'!$B$6:$AE$383,17,0)</f>
        <v>24000</v>
      </c>
      <c r="S58" s="192">
        <f>VLOOKUP(B58,'Salary -Dec-2024 (Full)'!$B$6:$AE$383,18,0)</f>
        <v>0</v>
      </c>
      <c r="T58" s="192">
        <f>VLOOKUP(B58,'Salary -Dec-2024 (Full)'!$B$6:$AE$383,19,0)</f>
        <v>0</v>
      </c>
      <c r="U58" s="337">
        <f>VLOOKUP(B58,'Salary -Dec-2024 (Full)'!$B$6:$AE$383,20,0)</f>
        <v>0</v>
      </c>
      <c r="V58" s="71">
        <f t="shared" si="154"/>
        <v>24000</v>
      </c>
      <c r="W58" s="192">
        <f>VLOOKUP(B58,'Salary -Dec-2024 (Full)'!$B$6:$AE$383,22,0)</f>
        <v>0</v>
      </c>
      <c r="X58" s="192">
        <f>VLOOKUP(B58,'Salary -Dec-2024 (Full)'!$B$6:$AE$383,23,0)</f>
        <v>0</v>
      </c>
      <c r="Y58" s="337">
        <f>VLOOKUP(B58,'Salary -Dec-2024 (Full)'!$B$6:$AE$383,24,0)</f>
        <v>0</v>
      </c>
      <c r="Z58" s="192">
        <f>VLOOKUP(B58,'Salary -Dec-2024 (Full)'!$B$6:$AE$383,25,0)</f>
        <v>2175</v>
      </c>
      <c r="AA58" s="192">
        <f>VLOOKUP(B58,'Salary -Dec-2024 (Full)'!$B$6:$AE$383,26,0)</f>
        <v>0</v>
      </c>
      <c r="AB58" s="377">
        <f t="shared" si="155"/>
        <v>2175</v>
      </c>
      <c r="AC58" s="71">
        <f t="shared" si="156"/>
        <v>21825</v>
      </c>
      <c r="AD58" s="346" t="str">
        <f>VLOOKUP(B58,'Salary -Dec-2024 (Full)'!$B$6:$AE$383,29,0)</f>
        <v>Bank</v>
      </c>
      <c r="AE58" s="346" t="str">
        <f>VLOOKUP(B58,'Salary -Dec-2024 (Full)'!$B$6:$AE$2853,30,0)</f>
        <v>162.103.0246088</v>
      </c>
      <c r="AH58" s="183"/>
      <c r="AI58" s="320"/>
    </row>
    <row r="59" spans="1:35" s="61" customFormat="1" ht="22.5" customHeight="1">
      <c r="A59" s="771">
        <v>33</v>
      </c>
      <c r="B59" s="392" t="s">
        <v>1440</v>
      </c>
      <c r="C59" s="64" t="str">
        <f>VLOOKUP(B59,'Salary -Dec-2024 (Full)'!$B$8:$AE$381,2,0)</f>
        <v>Md. Sagor Hossen</v>
      </c>
      <c r="D59" s="115" t="str">
        <f>VLOOKUP(B59,'Salary -Dec-2024 (Full)'!$B$8:$AE$381,3,0)</f>
        <v>Territory Sales Officer</v>
      </c>
      <c r="E59" s="65" t="str">
        <f>VLOOKUP(B59,'Salary -Dec-2024 (Full)'!$B$8:$AE$381,4,0)</f>
        <v>Pesticide &amp; Fertilizer</v>
      </c>
      <c r="F59" s="265">
        <f>VLOOKUP(B59,'Salary -Dec-2024 (Full)'!$B$8:$AE$381,5,0)</f>
        <v>45475</v>
      </c>
      <c r="G59" s="66">
        <f>VLOOKUP(B59,'Salary -Dec-2024 (Full)'!$B$8:$AE$381,6,0)</f>
        <v>31</v>
      </c>
      <c r="H59" s="67">
        <f>VLOOKUP(B59,'Salary -Dec-2024 (Full)'!$B$8:$AE$381,7,0)</f>
        <v>0</v>
      </c>
      <c r="I59" s="66">
        <f t="shared" si="147"/>
        <v>31</v>
      </c>
      <c r="J59" s="67">
        <f t="shared" si="148"/>
        <v>645.16129032258061</v>
      </c>
      <c r="K59" s="192">
        <f>VLOOKUP(B59,'Salary -Dec-2024 (Full)'!$B$6:$AE$383,10,0)</f>
        <v>20000</v>
      </c>
      <c r="L59" s="68">
        <f t="shared" si="149"/>
        <v>12000</v>
      </c>
      <c r="M59" s="68">
        <f t="shared" si="150"/>
        <v>6000</v>
      </c>
      <c r="N59" s="68">
        <f t="shared" si="151"/>
        <v>1200</v>
      </c>
      <c r="O59" s="68">
        <f t="shared" si="152"/>
        <v>800</v>
      </c>
      <c r="P59" s="69"/>
      <c r="Q59" s="70">
        <f t="shared" si="153"/>
        <v>20000</v>
      </c>
      <c r="R59" s="70">
        <f>VLOOKUP(B59,'Salary -Dec-2024 (Full)'!$B$6:$AE$383,17,0)</f>
        <v>20000</v>
      </c>
      <c r="S59" s="192">
        <f>VLOOKUP(B59,'Salary -Dec-2024 (Full)'!$B$6:$AE$383,18,0)</f>
        <v>0</v>
      </c>
      <c r="T59" s="192">
        <f>VLOOKUP(B59,'Salary -Dec-2024 (Full)'!$B$6:$AE$383,19,0)</f>
        <v>0</v>
      </c>
      <c r="U59" s="337">
        <f>VLOOKUP(B59,'Salary -Dec-2024 (Full)'!$B$6:$AE$383,20,0)</f>
        <v>0</v>
      </c>
      <c r="V59" s="71">
        <f t="shared" si="154"/>
        <v>20000</v>
      </c>
      <c r="W59" s="192">
        <f>VLOOKUP(B59,'Salary -Dec-2024 (Full)'!$B$6:$AE$383,22,0)</f>
        <v>0</v>
      </c>
      <c r="X59" s="192">
        <f>VLOOKUP(B59,'Salary -Dec-2024 (Full)'!$B$6:$AE$383,23,0)</f>
        <v>0</v>
      </c>
      <c r="Y59" s="337">
        <f>VLOOKUP(B59,'Salary -Dec-2024 (Full)'!$B$6:$AE$383,24,0)</f>
        <v>0</v>
      </c>
      <c r="Z59" s="192">
        <f>VLOOKUP(B59,'Salary -Dec-2024 (Full)'!$B$6:$AE$383,25,0)</f>
        <v>0</v>
      </c>
      <c r="AA59" s="192">
        <f>VLOOKUP(B59,'Salary -Dec-2024 (Full)'!$B$6:$AE$383,26,0)</f>
        <v>0</v>
      </c>
      <c r="AB59" s="377">
        <f t="shared" si="155"/>
        <v>0</v>
      </c>
      <c r="AC59" s="71">
        <f t="shared" si="156"/>
        <v>20000</v>
      </c>
      <c r="AD59" s="346" t="str">
        <f>VLOOKUP(B59,'Salary -Dec-2024 (Full)'!$B$6:$AE$383,29,0)</f>
        <v>Bank</v>
      </c>
      <c r="AE59" s="346" t="str">
        <f>VLOOKUP(B59,'Salary -Dec-2024 (Full)'!$B$6:$AE$2853,30,0)</f>
        <v>163.103.0198643</v>
      </c>
      <c r="AH59" s="183"/>
      <c r="AI59" s="320"/>
    </row>
    <row r="60" spans="1:35" s="61" customFormat="1" ht="22.5" customHeight="1">
      <c r="A60" s="771">
        <v>34</v>
      </c>
      <c r="B60" s="392" t="s">
        <v>1442</v>
      </c>
      <c r="C60" s="64" t="str">
        <f>VLOOKUP(B60,'Salary -Dec-2024 (Full)'!$B$8:$AE$381,2,0)</f>
        <v>Milon Roy</v>
      </c>
      <c r="D60" s="115" t="str">
        <f>VLOOKUP(B60,'Salary -Dec-2024 (Full)'!$B$8:$AE$381,3,0)</f>
        <v>Territory Sales Officer</v>
      </c>
      <c r="E60" s="65" t="str">
        <f>VLOOKUP(B60,'Salary -Dec-2024 (Full)'!$B$8:$AE$381,4,0)</f>
        <v>Pesticide &amp; Fertilizer</v>
      </c>
      <c r="F60" s="265">
        <f>VLOOKUP(B60,'Salary -Dec-2024 (Full)'!$B$8:$AE$381,5,0)</f>
        <v>45475</v>
      </c>
      <c r="G60" s="66">
        <f>VLOOKUP(B60,'Salary -Dec-2024 (Full)'!$B$8:$AE$381,6,0)</f>
        <v>31</v>
      </c>
      <c r="H60" s="67">
        <f>VLOOKUP(B60,'Salary -Dec-2024 (Full)'!$B$8:$AE$381,7,0)</f>
        <v>0</v>
      </c>
      <c r="I60" s="66">
        <f t="shared" si="147"/>
        <v>31</v>
      </c>
      <c r="J60" s="67">
        <f t="shared" si="148"/>
        <v>580.64516129032256</v>
      </c>
      <c r="K60" s="192">
        <f>VLOOKUP(B60,'Salary -Dec-2024 (Full)'!$B$6:$AE$383,10,0)</f>
        <v>18000</v>
      </c>
      <c r="L60" s="68">
        <f t="shared" si="149"/>
        <v>10800</v>
      </c>
      <c r="M60" s="68">
        <f t="shared" si="150"/>
        <v>5400</v>
      </c>
      <c r="N60" s="68">
        <f t="shared" si="151"/>
        <v>1080</v>
      </c>
      <c r="O60" s="68">
        <f t="shared" si="152"/>
        <v>720</v>
      </c>
      <c r="P60" s="69"/>
      <c r="Q60" s="70">
        <f t="shared" si="153"/>
        <v>18000</v>
      </c>
      <c r="R60" s="70">
        <f>VLOOKUP(B60,'Salary -Dec-2024 (Full)'!$B$6:$AE$383,17,0)</f>
        <v>18000</v>
      </c>
      <c r="S60" s="192">
        <f>VLOOKUP(B60,'Salary -Dec-2024 (Full)'!$B$6:$AE$383,18,0)</f>
        <v>0</v>
      </c>
      <c r="T60" s="192">
        <f>VLOOKUP(B60,'Salary -Dec-2024 (Full)'!$B$6:$AE$383,19,0)</f>
        <v>0</v>
      </c>
      <c r="U60" s="337">
        <f>VLOOKUP(B60,'Salary -Dec-2024 (Full)'!$B$6:$AE$383,20,0)</f>
        <v>0</v>
      </c>
      <c r="V60" s="71">
        <f t="shared" si="154"/>
        <v>18000</v>
      </c>
      <c r="W60" s="192">
        <f>VLOOKUP(B60,'Salary -Dec-2024 (Full)'!$B$6:$AE$383,22,0)</f>
        <v>0</v>
      </c>
      <c r="X60" s="192">
        <f>VLOOKUP(B60,'Salary -Dec-2024 (Full)'!$B$6:$AE$383,23,0)</f>
        <v>0</v>
      </c>
      <c r="Y60" s="337">
        <f>VLOOKUP(B60,'Salary -Dec-2024 (Full)'!$B$6:$AE$383,24,0)</f>
        <v>0</v>
      </c>
      <c r="Z60" s="192">
        <f>VLOOKUP(B60,'Salary -Dec-2024 (Full)'!$B$6:$AE$383,25,0)</f>
        <v>0</v>
      </c>
      <c r="AA60" s="192">
        <f>VLOOKUP(B60,'Salary -Dec-2024 (Full)'!$B$6:$AE$383,26,0)</f>
        <v>0</v>
      </c>
      <c r="AB60" s="377">
        <f t="shared" si="155"/>
        <v>0</v>
      </c>
      <c r="AC60" s="71">
        <f t="shared" si="156"/>
        <v>18000</v>
      </c>
      <c r="AD60" s="346" t="str">
        <f>VLOOKUP(B60,'Salary -Dec-2024 (Full)'!$B$6:$AE$383,29,0)</f>
        <v>Bank</v>
      </c>
      <c r="AE60" s="346" t="str">
        <f>VLOOKUP(B60,'Salary -Dec-2024 (Full)'!$B$6:$AE$2853,30,0)</f>
        <v>162.103.0246371</v>
      </c>
      <c r="AH60" s="183"/>
      <c r="AI60" s="320"/>
    </row>
    <row r="61" spans="1:35" s="61" customFormat="1" ht="22.5" customHeight="1">
      <c r="A61" s="771">
        <v>35</v>
      </c>
      <c r="B61" s="392" t="s">
        <v>1454</v>
      </c>
      <c r="C61" s="64" t="str">
        <f>VLOOKUP(B61,'Salary -Dec-2024 (Full)'!$B$8:$AE$381,2,0)</f>
        <v>Moniruzzman</v>
      </c>
      <c r="D61" s="115" t="str">
        <f>VLOOKUP(B61,'Salary -Dec-2024 (Full)'!$B$8:$AE$381,3,0)</f>
        <v>Territory Sales Officer</v>
      </c>
      <c r="E61" s="65" t="str">
        <f>VLOOKUP(B61,'Salary -Dec-2024 (Full)'!$B$8:$AE$381,4,0)</f>
        <v>Pesticide &amp; Fertilizer</v>
      </c>
      <c r="F61" s="265">
        <f>VLOOKUP(B61,'Salary -Dec-2024 (Full)'!$B$8:$AE$381,5,0)</f>
        <v>45483</v>
      </c>
      <c r="G61" s="66">
        <f>VLOOKUP(B61,'Salary -Dec-2024 (Full)'!$B$8:$AE$381,6,0)</f>
        <v>31</v>
      </c>
      <c r="H61" s="67">
        <f>VLOOKUP(B61,'Salary -Dec-2024 (Full)'!$B$8:$AE$381,7,0)</f>
        <v>0</v>
      </c>
      <c r="I61" s="66">
        <f t="shared" ref="I61" si="157">G61-H61</f>
        <v>31</v>
      </c>
      <c r="J61" s="67">
        <f t="shared" ref="J61" si="158">Q61/G61</f>
        <v>645.16129032258061</v>
      </c>
      <c r="K61" s="192">
        <f>VLOOKUP(B61,'Salary -Dec-2024 (Full)'!$B$6:$AE$383,10,0)</f>
        <v>20000</v>
      </c>
      <c r="L61" s="68">
        <f t="shared" ref="L61" si="159">K61*60%</f>
        <v>12000</v>
      </c>
      <c r="M61" s="68">
        <f t="shared" ref="M61" si="160">K61*30%</f>
        <v>6000</v>
      </c>
      <c r="N61" s="68">
        <f t="shared" ref="N61" si="161">K61*6%</f>
        <v>1200</v>
      </c>
      <c r="O61" s="68">
        <f t="shared" ref="O61" si="162">K61*4%</f>
        <v>800</v>
      </c>
      <c r="P61" s="69"/>
      <c r="Q61" s="70">
        <f t="shared" ref="Q61" si="163">SUM(L61:P61)</f>
        <v>20000</v>
      </c>
      <c r="R61" s="70">
        <f>VLOOKUP(B61,'Salary -Dec-2024 (Full)'!$B$6:$AE$383,17,0)</f>
        <v>20000</v>
      </c>
      <c r="S61" s="192">
        <f>VLOOKUP(B61,'Salary -Dec-2024 (Full)'!$B$6:$AE$383,18,0)</f>
        <v>0</v>
      </c>
      <c r="T61" s="192">
        <f>VLOOKUP(B61,'Salary -Dec-2024 (Full)'!$B$6:$AE$383,19,0)</f>
        <v>0</v>
      </c>
      <c r="U61" s="337">
        <f>VLOOKUP(B61,'Salary -Dec-2024 (Full)'!$B$6:$AE$383,20,0)</f>
        <v>0</v>
      </c>
      <c r="V61" s="71">
        <f t="shared" ref="V61" si="164">SUM(R61:U61)</f>
        <v>20000</v>
      </c>
      <c r="W61" s="192">
        <f>VLOOKUP(B61,'Salary -Dec-2024 (Full)'!$B$6:$AE$383,22,0)</f>
        <v>0</v>
      </c>
      <c r="X61" s="192">
        <f>VLOOKUP(B61,'Salary -Dec-2024 (Full)'!$B$6:$AE$383,23,0)</f>
        <v>0</v>
      </c>
      <c r="Y61" s="337">
        <f>VLOOKUP(B61,'Salary -Dec-2024 (Full)'!$B$6:$AE$383,24,0)</f>
        <v>0</v>
      </c>
      <c r="Z61" s="192">
        <f>VLOOKUP(B61,'Salary -Dec-2024 (Full)'!$B$6:$AE$383,25,0)</f>
        <v>0</v>
      </c>
      <c r="AA61" s="192">
        <f>VLOOKUP(B61,'Salary -Dec-2024 (Full)'!$B$6:$AE$383,26,0)</f>
        <v>0</v>
      </c>
      <c r="AB61" s="377">
        <f t="shared" ref="AB61" si="165">SUM(W61:AA61)</f>
        <v>0</v>
      </c>
      <c r="AC61" s="71">
        <f t="shared" ref="AC61" si="166">ROUND(V61-AB61,0)</f>
        <v>20000</v>
      </c>
      <c r="AD61" s="346" t="str">
        <f>VLOOKUP(B61,'Salary -Dec-2024 (Full)'!$B$6:$AE$383,29,0)</f>
        <v>Bank</v>
      </c>
      <c r="AE61" s="346" t="str">
        <f>VLOOKUP(B61,'Salary -Dec-2024 (Full)'!$B$6:$AE$2853,30,0)</f>
        <v>269.103.0015873</v>
      </c>
      <c r="AH61" s="183"/>
      <c r="AI61" s="320"/>
    </row>
    <row r="62" spans="1:35" s="61" customFormat="1" ht="26.25" customHeight="1">
      <c r="A62" s="771">
        <v>36</v>
      </c>
      <c r="B62" s="392" t="s">
        <v>1606</v>
      </c>
      <c r="C62" s="64" t="str">
        <f>VLOOKUP(B62,'Salary -Dec-2024 (Full)'!$B$8:$AE$381,2,0)</f>
        <v>Md Iqbal Hossen</v>
      </c>
      <c r="D62" s="115" t="str">
        <f>VLOOKUP(B62,'Salary -Dec-2024 (Full)'!$B$8:$AE$381,3,0)</f>
        <v>Sr. Territory Sales Officer</v>
      </c>
      <c r="E62" s="65" t="str">
        <f>VLOOKUP(B62,'Salary -Dec-2024 (Full)'!$B$8:$AE$381,4,0)</f>
        <v>Pesticide &amp; Fertilizer</v>
      </c>
      <c r="F62" s="265">
        <f>VLOOKUP(B62,'Salary -Dec-2024 (Full)'!$B$8:$AE$381,5,0)</f>
        <v>45505</v>
      </c>
      <c r="G62" s="66">
        <f>VLOOKUP(B62,'Salary -Dec-2024 (Full)'!$B$8:$AE$381,6,0)</f>
        <v>31</v>
      </c>
      <c r="H62" s="67">
        <f>VLOOKUP(B62,'Salary -Dec-2024 (Full)'!$B$8:$AE$381,7,0)</f>
        <v>0</v>
      </c>
      <c r="I62" s="66">
        <f t="shared" ref="I62:I63" si="167">G62-H62</f>
        <v>31</v>
      </c>
      <c r="J62" s="67">
        <f t="shared" ref="J62:J63" si="168">Q62/G62</f>
        <v>870.9677419354839</v>
      </c>
      <c r="K62" s="192">
        <f>VLOOKUP(B62,'Salary -Dec-2024 (Full)'!$B$6:$AE$383,10,0)</f>
        <v>27000</v>
      </c>
      <c r="L62" s="68">
        <f t="shared" ref="L62:L63" si="169">K62*60%</f>
        <v>16200</v>
      </c>
      <c r="M62" s="68">
        <f t="shared" ref="M62:M63" si="170">K62*30%</f>
        <v>8100</v>
      </c>
      <c r="N62" s="68">
        <f t="shared" ref="N62:N63" si="171">K62*6%</f>
        <v>1620</v>
      </c>
      <c r="O62" s="68">
        <f t="shared" ref="O62:O63" si="172">K62*4%</f>
        <v>1080</v>
      </c>
      <c r="P62" s="69"/>
      <c r="Q62" s="70">
        <f t="shared" ref="Q62:Q63" si="173">SUM(L62:P62)</f>
        <v>27000</v>
      </c>
      <c r="R62" s="70">
        <f>VLOOKUP(B62,'Salary -Dec-2024 (Full)'!$B$6:$AE$383,17,0)</f>
        <v>27000</v>
      </c>
      <c r="S62" s="192">
        <f>VLOOKUP(B62,'Salary -Dec-2024 (Full)'!$B$6:$AE$383,18,0)</f>
        <v>0</v>
      </c>
      <c r="T62" s="192">
        <f>VLOOKUP(B62,'Salary -Dec-2024 (Full)'!$B$6:$AE$383,19,0)</f>
        <v>0</v>
      </c>
      <c r="U62" s="337">
        <f>VLOOKUP(B62,'Salary -Dec-2024 (Full)'!$B$6:$AE$383,20,0)</f>
        <v>0</v>
      </c>
      <c r="V62" s="71">
        <f t="shared" ref="V62:V63" si="174">SUM(R62:U62)</f>
        <v>27000</v>
      </c>
      <c r="W62" s="192">
        <f>VLOOKUP(B62,'Salary -Dec-2024 (Full)'!$B$6:$AE$383,22,0)</f>
        <v>0</v>
      </c>
      <c r="X62" s="192">
        <f>VLOOKUP(B62,'Salary -Dec-2024 (Full)'!$B$6:$AE$383,23,0)</f>
        <v>0</v>
      </c>
      <c r="Y62" s="337">
        <f>VLOOKUP(B62,'Salary -Dec-2024 (Full)'!$B$6:$AE$383,24,0)</f>
        <v>0</v>
      </c>
      <c r="Z62" s="192">
        <f>VLOOKUP(B62,'Salary -Dec-2024 (Full)'!$B$6:$AE$383,25,0)</f>
        <v>0</v>
      </c>
      <c r="AA62" s="192">
        <f>VLOOKUP(B62,'Salary -Dec-2024 (Full)'!$B$6:$AE$383,26,0)</f>
        <v>0</v>
      </c>
      <c r="AB62" s="377">
        <f t="shared" ref="AB62:AB63" si="175">SUM(W62:AA62)</f>
        <v>0</v>
      </c>
      <c r="AC62" s="71">
        <f t="shared" ref="AC62:AC63" si="176">ROUND(V62-AB62,0)</f>
        <v>27000</v>
      </c>
      <c r="AD62" s="346" t="str">
        <f>VLOOKUP(B62,'Salary -Dec-2024 (Full)'!$B$6:$AE$383,29,0)</f>
        <v>Bank</v>
      </c>
      <c r="AE62" s="346" t="str">
        <f>VLOOKUP(B62,'Salary -Dec-2024 (Full)'!$B$6:$AE$2853,30,0)</f>
        <v>209.103.0043024</v>
      </c>
      <c r="AH62" s="183"/>
      <c r="AI62" s="320"/>
    </row>
    <row r="63" spans="1:35" s="61" customFormat="1" ht="27" customHeight="1">
      <c r="A63" s="771">
        <v>37</v>
      </c>
      <c r="B63" s="392" t="s">
        <v>1610</v>
      </c>
      <c r="C63" s="64" t="str">
        <f>VLOOKUP(B63,'Salary -Dec-2024 (Full)'!$B$8:$AE$381,2,0)</f>
        <v>Md. Abdul Hoque</v>
      </c>
      <c r="D63" s="115" t="str">
        <f>VLOOKUP(B63,'Salary -Dec-2024 (Full)'!$B$8:$AE$381,3,0)</f>
        <v>Sr. Territory Sales Officer</v>
      </c>
      <c r="E63" s="65" t="str">
        <f>VLOOKUP(B63,'Salary -Dec-2024 (Full)'!$B$8:$AE$381,4,0)</f>
        <v>Pesticide &amp; Fertilizer</v>
      </c>
      <c r="F63" s="265">
        <f>VLOOKUP(B63,'Salary -Dec-2024 (Full)'!$B$8:$AE$381,5,0)</f>
        <v>45505</v>
      </c>
      <c r="G63" s="66">
        <f>VLOOKUP(B63,'Salary -Dec-2024 (Full)'!$B$8:$AE$381,6,0)</f>
        <v>31</v>
      </c>
      <c r="H63" s="67">
        <f>VLOOKUP(B63,'Salary -Dec-2024 (Full)'!$B$8:$AE$381,7,0)</f>
        <v>0</v>
      </c>
      <c r="I63" s="66">
        <f t="shared" si="167"/>
        <v>31</v>
      </c>
      <c r="J63" s="67">
        <f t="shared" si="168"/>
        <v>838.70967741935488</v>
      </c>
      <c r="K63" s="192">
        <f>VLOOKUP(B63,'Salary -Dec-2024 (Full)'!$B$6:$AE$383,10,0)</f>
        <v>26000</v>
      </c>
      <c r="L63" s="68">
        <f t="shared" si="169"/>
        <v>15600</v>
      </c>
      <c r="M63" s="68">
        <f t="shared" si="170"/>
        <v>7800</v>
      </c>
      <c r="N63" s="68">
        <f t="shared" si="171"/>
        <v>1560</v>
      </c>
      <c r="O63" s="68">
        <f t="shared" si="172"/>
        <v>1040</v>
      </c>
      <c r="P63" s="69"/>
      <c r="Q63" s="70">
        <f t="shared" si="173"/>
        <v>26000</v>
      </c>
      <c r="R63" s="70">
        <f>VLOOKUP(B63,'Salary -Dec-2024 (Full)'!$B$6:$AE$383,17,0)</f>
        <v>26000</v>
      </c>
      <c r="S63" s="192">
        <f>VLOOKUP(B63,'Salary -Dec-2024 (Full)'!$B$6:$AE$383,18,0)</f>
        <v>0</v>
      </c>
      <c r="T63" s="192">
        <f>VLOOKUP(B63,'Salary -Dec-2024 (Full)'!$B$6:$AE$383,19,0)</f>
        <v>0</v>
      </c>
      <c r="U63" s="337">
        <f>VLOOKUP(B63,'Salary -Dec-2024 (Full)'!$B$6:$AE$383,20,0)</f>
        <v>0</v>
      </c>
      <c r="V63" s="71">
        <f t="shared" si="174"/>
        <v>26000</v>
      </c>
      <c r="W63" s="192">
        <f>VLOOKUP(B63,'Salary -Dec-2024 (Full)'!$B$6:$AE$383,22,0)</f>
        <v>0</v>
      </c>
      <c r="X63" s="192">
        <f>VLOOKUP(B63,'Salary -Dec-2024 (Full)'!$B$6:$AE$383,23,0)</f>
        <v>0</v>
      </c>
      <c r="Y63" s="337">
        <f>VLOOKUP(B63,'Salary -Dec-2024 (Full)'!$B$6:$AE$383,24,0)</f>
        <v>0</v>
      </c>
      <c r="Z63" s="192">
        <f>VLOOKUP(B63,'Salary -Dec-2024 (Full)'!$B$6:$AE$383,25,0)</f>
        <v>0</v>
      </c>
      <c r="AA63" s="192">
        <f>VLOOKUP(B63,'Salary -Dec-2024 (Full)'!$B$6:$AE$383,26,0)</f>
        <v>0</v>
      </c>
      <c r="AB63" s="377">
        <f t="shared" si="175"/>
        <v>0</v>
      </c>
      <c r="AC63" s="71">
        <f t="shared" si="176"/>
        <v>26000</v>
      </c>
      <c r="AD63" s="346" t="str">
        <f>VLOOKUP(B63,'Salary -Dec-2024 (Full)'!$B$6:$AE$383,29,0)</f>
        <v>Bank</v>
      </c>
      <c r="AE63" s="346" t="str">
        <f>VLOOKUP(B63,'Salary -Dec-2024 (Full)'!$B$6:$AE$2853,30,0)</f>
        <v>240.103.0023837</v>
      </c>
      <c r="AH63" s="183"/>
      <c r="AI63" s="320"/>
    </row>
    <row r="64" spans="1:35" s="61" customFormat="1" ht="22.5" customHeight="1">
      <c r="A64" s="771">
        <v>38</v>
      </c>
      <c r="B64" s="392" t="s">
        <v>1666</v>
      </c>
      <c r="C64" s="64" t="str">
        <f>VLOOKUP(B64,'Salary -Dec-2024 (Full)'!$B$8:$AE$381,2,0)</f>
        <v>Md Arif Ahmad</v>
      </c>
      <c r="D64" s="115" t="str">
        <f>VLOOKUP(B64,'Salary -Dec-2024 (Full)'!$B$8:$AE$381,3,0)</f>
        <v>Sr. Territory Sales Officer</v>
      </c>
      <c r="E64" s="65" t="str">
        <f>VLOOKUP(B64,'Salary -Dec-2024 (Full)'!$B$8:$AE$381,4,0)</f>
        <v>Pesticide &amp; Fertilizer</v>
      </c>
      <c r="F64" s="265">
        <f>VLOOKUP(B64,'Salary -Dec-2024 (Full)'!$B$8:$AE$381,5,0)</f>
        <v>45566</v>
      </c>
      <c r="G64" s="66">
        <f>VLOOKUP(B64,'Salary -Dec-2024 (Full)'!$B$8:$AE$381,6,0)</f>
        <v>31</v>
      </c>
      <c r="H64" s="67">
        <f>VLOOKUP(B64,'Salary -Dec-2024 (Full)'!$B$8:$AE$381,7,0)</f>
        <v>0</v>
      </c>
      <c r="I64" s="66">
        <f t="shared" ref="I64" si="177">G64-H64</f>
        <v>31</v>
      </c>
      <c r="J64" s="67">
        <f t="shared" ref="J64" si="178">Q64/G64</f>
        <v>806.45161290322585</v>
      </c>
      <c r="K64" s="192">
        <f>VLOOKUP(B64,'Salary -Dec-2024 (Full)'!$B$6:$AE$383,10,0)</f>
        <v>25000</v>
      </c>
      <c r="L64" s="68">
        <f t="shared" ref="L64" si="179">K64*60%</f>
        <v>15000</v>
      </c>
      <c r="M64" s="68">
        <f t="shared" ref="M64" si="180">K64*30%</f>
        <v>7500</v>
      </c>
      <c r="N64" s="68">
        <f t="shared" ref="N64" si="181">K64*6%</f>
        <v>1500</v>
      </c>
      <c r="O64" s="68">
        <f t="shared" ref="O64" si="182">K64*4%</f>
        <v>1000</v>
      </c>
      <c r="P64" s="69"/>
      <c r="Q64" s="70">
        <f t="shared" ref="Q64" si="183">SUM(L64:P64)</f>
        <v>25000</v>
      </c>
      <c r="R64" s="70">
        <f>VLOOKUP(B64,'Salary -Dec-2024 (Full)'!$B$6:$AE$383,17,0)</f>
        <v>25000</v>
      </c>
      <c r="S64" s="192">
        <f>VLOOKUP(B64,'Salary -Dec-2024 (Full)'!$B$6:$AE$383,18,0)</f>
        <v>0</v>
      </c>
      <c r="T64" s="192">
        <f>VLOOKUP(B64,'Salary -Dec-2024 (Full)'!$B$6:$AE$383,19,0)</f>
        <v>0</v>
      </c>
      <c r="U64" s="337">
        <f>VLOOKUP(B64,'Salary -Dec-2024 (Full)'!$B$6:$AE$383,20,0)</f>
        <v>0</v>
      </c>
      <c r="V64" s="71">
        <f t="shared" ref="V64" si="184">SUM(R64:U64)</f>
        <v>25000</v>
      </c>
      <c r="W64" s="192">
        <f>VLOOKUP(B64,'Salary -Dec-2024 (Full)'!$B$6:$AE$383,22,0)</f>
        <v>0</v>
      </c>
      <c r="X64" s="192">
        <f>VLOOKUP(B64,'Salary -Dec-2024 (Full)'!$B$6:$AE$383,23,0)</f>
        <v>0</v>
      </c>
      <c r="Y64" s="337">
        <f>VLOOKUP(B64,'Salary -Dec-2024 (Full)'!$B$6:$AE$383,24,0)</f>
        <v>0</v>
      </c>
      <c r="Z64" s="192">
        <f>VLOOKUP(B64,'Salary -Dec-2024 (Full)'!$B$6:$AE$383,25,0)</f>
        <v>0</v>
      </c>
      <c r="AA64" s="192">
        <f>VLOOKUP(B64,'Salary -Dec-2024 (Full)'!$B$6:$AE$383,26,0)</f>
        <v>0</v>
      </c>
      <c r="AB64" s="377">
        <f t="shared" ref="AB64" si="185">SUM(W64:AA64)</f>
        <v>0</v>
      </c>
      <c r="AC64" s="71">
        <f t="shared" ref="AC64" si="186">ROUND(V64-AB64,0)</f>
        <v>25000</v>
      </c>
      <c r="AD64" s="346" t="str">
        <f>VLOOKUP(B64,'Salary -Dec-2024 (Full)'!$B$6:$AE$383,29,0)</f>
        <v>Bank</v>
      </c>
      <c r="AE64" s="346" t="str">
        <f>VLOOKUP(B64,'Salary -Dec-2024 (Full)'!$B$6:$AE$2853,30,0)</f>
        <v>206.103.0206850</v>
      </c>
      <c r="AH64" s="183"/>
      <c r="AI64" s="320"/>
    </row>
    <row r="65" spans="1:35" s="61" customFormat="1" ht="22.5" customHeight="1">
      <c r="A65" s="771">
        <v>39</v>
      </c>
      <c r="B65" s="392" t="s">
        <v>1810</v>
      </c>
      <c r="C65" s="64" t="str">
        <f>VLOOKUP(B65,'Salary -Dec-2024 (Full)'!$B$8:$AE$381,2,0)</f>
        <v>Md Anamul Hasan Bhuiyan</v>
      </c>
      <c r="D65" s="115" t="str">
        <f>VLOOKUP(B65,'Salary -Dec-2024 (Full)'!$B$8:$AE$381,3,0)</f>
        <v>Territory Sales Officer</v>
      </c>
      <c r="E65" s="65" t="str">
        <f>VLOOKUP(B65,'Salary -Dec-2024 (Full)'!$B$8:$AE$381,4,0)</f>
        <v>Pesticide &amp; Fertilizer</v>
      </c>
      <c r="F65" s="265">
        <f>VLOOKUP(B65,'Salary -Dec-2024 (Full)'!$B$8:$AE$381,5,0)</f>
        <v>45614</v>
      </c>
      <c r="G65" s="66">
        <f>VLOOKUP(B65,'Salary -Dec-2024 (Full)'!$B$8:$AE$381,6,0)</f>
        <v>31</v>
      </c>
      <c r="H65" s="67">
        <f>VLOOKUP(B65,'Salary -Dec-2024 (Full)'!$B$8:$AE$381,7,0)</f>
        <v>0</v>
      </c>
      <c r="I65" s="66">
        <f t="shared" ref="I65" si="187">G65-H65</f>
        <v>31</v>
      </c>
      <c r="J65" s="67">
        <f t="shared" ref="J65" si="188">Q65/G65</f>
        <v>903.22580645161293</v>
      </c>
      <c r="K65" s="192">
        <f>VLOOKUP(B65,'Salary -Dec-2024 (Full)'!$B$6:$AE$383,10,0)</f>
        <v>28000</v>
      </c>
      <c r="L65" s="68">
        <f t="shared" ref="L65" si="189">K65*60%</f>
        <v>16800</v>
      </c>
      <c r="M65" s="68">
        <f t="shared" ref="M65" si="190">K65*30%</f>
        <v>8400</v>
      </c>
      <c r="N65" s="68">
        <f t="shared" ref="N65" si="191">K65*6%</f>
        <v>1680</v>
      </c>
      <c r="O65" s="68">
        <f t="shared" ref="O65" si="192">K65*4%</f>
        <v>1120</v>
      </c>
      <c r="P65" s="69"/>
      <c r="Q65" s="70">
        <f t="shared" ref="Q65" si="193">SUM(L65:P65)</f>
        <v>28000</v>
      </c>
      <c r="R65" s="70">
        <f>VLOOKUP(B65,'Salary -Dec-2024 (Full)'!$B$6:$AE$383,17,0)</f>
        <v>28000</v>
      </c>
      <c r="S65" s="192">
        <f>VLOOKUP(B65,'Salary -Dec-2024 (Full)'!$B$6:$AE$383,18,0)</f>
        <v>0</v>
      </c>
      <c r="T65" s="192">
        <f>VLOOKUP(B65,'Salary -Dec-2024 (Full)'!$B$6:$AE$383,19,0)</f>
        <v>0</v>
      </c>
      <c r="U65" s="337">
        <f>VLOOKUP(B65,'Salary -Dec-2024 (Full)'!$B$6:$AE$383,20,0)</f>
        <v>0</v>
      </c>
      <c r="V65" s="71">
        <f t="shared" ref="V65" si="194">SUM(R65:U65)</f>
        <v>28000</v>
      </c>
      <c r="W65" s="192">
        <f>VLOOKUP(B65,'Salary -Dec-2024 (Full)'!$B$6:$AE$383,22,0)</f>
        <v>0</v>
      </c>
      <c r="X65" s="192">
        <f>VLOOKUP(B65,'Salary -Dec-2024 (Full)'!$B$6:$AE$383,23,0)</f>
        <v>0</v>
      </c>
      <c r="Y65" s="337">
        <f>VLOOKUP(B65,'Salary -Dec-2024 (Full)'!$B$6:$AE$383,24,0)</f>
        <v>0</v>
      </c>
      <c r="Z65" s="192">
        <f>VLOOKUP(B65,'Salary -Dec-2024 (Full)'!$B$6:$AE$383,25,0)</f>
        <v>0</v>
      </c>
      <c r="AA65" s="192">
        <f>VLOOKUP(B65,'Salary -Dec-2024 (Full)'!$B$6:$AE$383,26,0)</f>
        <v>0</v>
      </c>
      <c r="AB65" s="377">
        <f t="shared" ref="AB65" si="195">SUM(W65:AA65)</f>
        <v>0</v>
      </c>
      <c r="AC65" s="71">
        <f t="shared" ref="AC65" si="196">ROUND(V65-AB65,0)</f>
        <v>28000</v>
      </c>
      <c r="AD65" s="346" t="str">
        <f>VLOOKUP(B65,'Salary -Dec-2024 (Full)'!$B$6:$AE$383,29,0)</f>
        <v>Bank</v>
      </c>
      <c r="AE65" s="346" t="str">
        <f>VLOOKUP(B65,'Salary -Dec-2024 (Full)'!$B$6:$AE$2853,30,0)</f>
        <v>147.158.0005102</v>
      </c>
      <c r="AH65" s="183"/>
      <c r="AI65" s="320"/>
    </row>
    <row r="66" spans="1:35" s="30" customFormat="1" ht="16.5">
      <c r="A66" s="1031"/>
      <c r="B66" s="1032"/>
      <c r="C66" s="1033"/>
      <c r="D66" s="1034"/>
      <c r="E66" s="1040"/>
      <c r="F66" s="1036"/>
      <c r="G66" s="1036"/>
      <c r="H66" s="1036"/>
      <c r="I66" s="1036"/>
      <c r="J66" s="1037"/>
      <c r="K66" s="1037">
        <f>SUM(K27:K65)</f>
        <v>1097000</v>
      </c>
      <c r="L66" s="1037">
        <f t="shared" ref="L66:AB66" si="197">SUM(L27:L65)</f>
        <v>658200</v>
      </c>
      <c r="M66" s="1037">
        <f t="shared" si="197"/>
        <v>329100</v>
      </c>
      <c r="N66" s="1037">
        <f t="shared" si="197"/>
        <v>65820</v>
      </c>
      <c r="O66" s="1037">
        <f t="shared" si="197"/>
        <v>43880</v>
      </c>
      <c r="P66" s="1037">
        <f t="shared" si="197"/>
        <v>0</v>
      </c>
      <c r="Q66" s="1037">
        <f t="shared" si="197"/>
        <v>1097000</v>
      </c>
      <c r="R66" s="1037">
        <f t="shared" si="197"/>
        <v>1097000</v>
      </c>
      <c r="S66" s="1037">
        <f t="shared" si="197"/>
        <v>0</v>
      </c>
      <c r="T66" s="1037">
        <f t="shared" si="197"/>
        <v>0</v>
      </c>
      <c r="U66" s="1037">
        <f t="shared" si="197"/>
        <v>0</v>
      </c>
      <c r="V66" s="1037">
        <f t="shared" si="197"/>
        <v>1097000</v>
      </c>
      <c r="W66" s="1037">
        <f t="shared" si="197"/>
        <v>6431</v>
      </c>
      <c r="X66" s="1037">
        <f t="shared" si="197"/>
        <v>0</v>
      </c>
      <c r="Y66" s="1037">
        <f t="shared" si="197"/>
        <v>7350</v>
      </c>
      <c r="Z66" s="1037">
        <f t="shared" si="197"/>
        <v>32565</v>
      </c>
      <c r="AA66" s="1037">
        <f t="shared" si="197"/>
        <v>0</v>
      </c>
      <c r="AB66" s="1037">
        <f t="shared" si="197"/>
        <v>46346</v>
      </c>
      <c r="AC66" s="1037">
        <f>SUM(AC27:AC65)</f>
        <v>1050654</v>
      </c>
      <c r="AD66" s="1038"/>
      <c r="AE66" s="1038"/>
      <c r="AI66" s="320"/>
    </row>
    <row r="67" spans="1:35" s="47" customFormat="1" ht="15.75">
      <c r="A67" s="347" t="s">
        <v>319</v>
      </c>
      <c r="B67" s="268"/>
      <c r="C67" s="268"/>
      <c r="D67" s="348"/>
      <c r="E67" s="268"/>
      <c r="F67" s="474"/>
      <c r="G67" s="268"/>
      <c r="H67" s="267"/>
      <c r="I67" s="268"/>
      <c r="J67" s="268"/>
      <c r="K67" s="268"/>
      <c r="L67" s="268"/>
      <c r="M67" s="268"/>
      <c r="N67" s="268"/>
      <c r="O67" s="268"/>
      <c r="P67" s="268"/>
      <c r="Q67" s="268"/>
      <c r="R67" s="268"/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557"/>
      <c r="AG67" s="61"/>
      <c r="AH67" s="183"/>
      <c r="AI67" s="320"/>
    </row>
    <row r="68" spans="1:35" s="47" customFormat="1" ht="21.75" customHeight="1">
      <c r="A68" s="339">
        <v>1</v>
      </c>
      <c r="B68" s="340" t="s">
        <v>1164</v>
      </c>
      <c r="C68" s="64" t="str">
        <f>VLOOKUP(B68,'Salary -Dec-2024 (Full)'!$B$8:$AE$381,2,0)</f>
        <v>Md Ahsan Habib</v>
      </c>
      <c r="D68" s="115" t="str">
        <f>VLOOKUP(B68,'Salary -Dec-2024 (Full)'!$B$8:$AE$381,3,0)</f>
        <v>Office Assistant</v>
      </c>
      <c r="E68" s="65" t="str">
        <f>VLOOKUP(B68,'Salary -Dec-2024 (Full)'!$B$8:$AE$381,4,0)</f>
        <v>Pesticide</v>
      </c>
      <c r="F68" s="265">
        <f>VLOOKUP(B68,'Salary -Dec-2024 (Full)'!$B$8:$AE$381,5,0)</f>
        <v>45336</v>
      </c>
      <c r="G68" s="66">
        <f>VLOOKUP(B68,'Salary -Dec-2024 (Full)'!$B$8:$AE$381,6,0)</f>
        <v>31</v>
      </c>
      <c r="H68" s="67">
        <f>VLOOKUP(B68,'Salary -Dec-2024 (Full)'!$B$8:$AE$381,7,0)</f>
        <v>0</v>
      </c>
      <c r="I68" s="66">
        <f t="shared" ref="I68" si="198">G68-H68</f>
        <v>31</v>
      </c>
      <c r="J68" s="67">
        <f t="shared" ref="J68" si="199">Q68/G68</f>
        <v>580.64516129032256</v>
      </c>
      <c r="K68" s="192">
        <f>VLOOKUP(B68,'Salary -Dec-2024 (Full)'!$B$6:$AE$383,10,0)</f>
        <v>18000</v>
      </c>
      <c r="L68" s="68">
        <f t="shared" ref="L68" si="200">K68*60%</f>
        <v>10800</v>
      </c>
      <c r="M68" s="68">
        <f t="shared" ref="M68" si="201">K68*30%</f>
        <v>5400</v>
      </c>
      <c r="N68" s="68">
        <f t="shared" ref="N68" si="202">K68*6%</f>
        <v>1080</v>
      </c>
      <c r="O68" s="68">
        <f t="shared" ref="O68" si="203">K68*4%</f>
        <v>720</v>
      </c>
      <c r="P68" s="69"/>
      <c r="Q68" s="70">
        <f t="shared" ref="Q68" si="204">SUM(L68:P68)</f>
        <v>18000</v>
      </c>
      <c r="R68" s="70">
        <f>VLOOKUP(B68,'Salary -Dec-2024 (Full)'!$B$6:$AE$383,17,0)</f>
        <v>18000</v>
      </c>
      <c r="S68" s="192">
        <f>VLOOKUP(B68,'Salary -Dec-2024 (Full)'!$B$6:$AE$383,18,0)</f>
        <v>0</v>
      </c>
      <c r="T68" s="192">
        <f>VLOOKUP(B68,'Salary -Dec-2024 (Full)'!$B$6:$AE$383,19,0)</f>
        <v>0</v>
      </c>
      <c r="U68" s="337">
        <f>VLOOKUP(B68,'Salary -Dec-2024 (Full)'!$B$6:$AE$383,20,0)</f>
        <v>0</v>
      </c>
      <c r="V68" s="71">
        <f t="shared" ref="V68" si="205">SUM(R68:U68)</f>
        <v>18000</v>
      </c>
      <c r="W68" s="192">
        <f>VLOOKUP(B68,'Salary -Dec-2024 (Full)'!$B$6:$AE$383,22,0)</f>
        <v>0</v>
      </c>
      <c r="X68" s="192">
        <f>VLOOKUP(B68,'Salary -Dec-2024 (Full)'!$B$6:$AE$383,23,0)</f>
        <v>0</v>
      </c>
      <c r="Y68" s="337">
        <f>VLOOKUP(B68,'Salary -Dec-2024 (Full)'!$B$6:$AE$383,24,0)</f>
        <v>0</v>
      </c>
      <c r="Z68" s="192">
        <f>VLOOKUP(B68,'Salary -Dec-2024 (Full)'!$B$6:$AE$383,25,0)</f>
        <v>0</v>
      </c>
      <c r="AA68" s="192">
        <f>VLOOKUP(B68,'Salary -Dec-2024 (Full)'!$B$6:$AE$383,26,0)</f>
        <v>0</v>
      </c>
      <c r="AB68" s="377">
        <f t="shared" ref="AB68:AB72" si="206">SUM(W68:AA68)</f>
        <v>0</v>
      </c>
      <c r="AC68" s="71">
        <f t="shared" ref="AC68:AC72" si="207">ROUND(V68-AB68,0)</f>
        <v>18000</v>
      </c>
      <c r="AD68" s="346" t="str">
        <f>VLOOKUP(B68,'Salary -Dec-2024 (Full)'!$B$6:$AE$383,29,0)</f>
        <v>Bank</v>
      </c>
      <c r="AE68" s="346" t="str">
        <f>VLOOKUP(B68,'Salary -Dec-2024 (Full)'!$B$6:$AE$2853,30,0)</f>
        <v>125.158.0134414</v>
      </c>
      <c r="AG68" s="61"/>
      <c r="AH68" s="183"/>
      <c r="AI68" s="319"/>
    </row>
    <row r="69" spans="1:35" s="47" customFormat="1" ht="21.75" customHeight="1">
      <c r="A69" s="253">
        <v>2</v>
      </c>
      <c r="B69" s="254" t="s">
        <v>1170</v>
      </c>
      <c r="C69" s="64" t="str">
        <f>VLOOKUP(B69,'Salary -Dec-2024 (Full)'!$B$8:$AE$381,2,0)</f>
        <v>Md Rony Miya</v>
      </c>
      <c r="D69" s="115" t="str">
        <f>VLOOKUP(B69,'Salary -Dec-2024 (Full)'!$B$8:$AE$381,3,0)</f>
        <v>Office Assistant</v>
      </c>
      <c r="E69" s="65" t="str">
        <f>VLOOKUP(B69,'Salary -Dec-2024 (Full)'!$B$8:$AE$381,4,0)</f>
        <v>Pesticide</v>
      </c>
      <c r="F69" s="265">
        <f>VLOOKUP(B69,'Salary -Dec-2024 (Full)'!$B$8:$AE$381,5,0)</f>
        <v>45337</v>
      </c>
      <c r="G69" s="66">
        <f>VLOOKUP(B69,'Salary -Dec-2024 (Full)'!$B$8:$AE$381,6,0)</f>
        <v>31</v>
      </c>
      <c r="H69" s="67">
        <f>VLOOKUP(B69,'Salary -Dec-2024 (Full)'!$B$8:$AE$381,7,0)</f>
        <v>0</v>
      </c>
      <c r="I69" s="66">
        <f t="shared" ref="I69" si="208">G69-H69</f>
        <v>31</v>
      </c>
      <c r="J69" s="67">
        <f t="shared" ref="J69" si="209">Q69/G69</f>
        <v>580.64516129032256</v>
      </c>
      <c r="K69" s="192">
        <f>VLOOKUP(B69,'Salary -Dec-2024 (Full)'!$B$6:$AE$383,10,0)</f>
        <v>18000</v>
      </c>
      <c r="L69" s="68">
        <f t="shared" ref="L69" si="210">K69*60%</f>
        <v>10800</v>
      </c>
      <c r="M69" s="68">
        <f t="shared" ref="M69" si="211">K69*30%</f>
        <v>5400</v>
      </c>
      <c r="N69" s="68">
        <f t="shared" ref="N69" si="212">K69*6%</f>
        <v>1080</v>
      </c>
      <c r="O69" s="68">
        <f t="shared" ref="O69" si="213">K69*4%</f>
        <v>720</v>
      </c>
      <c r="P69" s="69"/>
      <c r="Q69" s="70">
        <f t="shared" ref="Q69" si="214">SUM(L69:P69)</f>
        <v>18000</v>
      </c>
      <c r="R69" s="70">
        <f>VLOOKUP(B69,'Salary -Dec-2024 (Full)'!$B$6:$AE$383,17,0)</f>
        <v>18000</v>
      </c>
      <c r="S69" s="192">
        <f>VLOOKUP(B69,'Salary -Dec-2024 (Full)'!$B$6:$AE$383,18,0)</f>
        <v>0</v>
      </c>
      <c r="T69" s="192">
        <f>VLOOKUP(B69,'Salary -Dec-2024 (Full)'!$B$6:$AE$383,19,0)</f>
        <v>0</v>
      </c>
      <c r="U69" s="337">
        <f>VLOOKUP(B69,'Salary -Dec-2024 (Full)'!$B$6:$AE$383,20,0)</f>
        <v>0</v>
      </c>
      <c r="V69" s="71">
        <f t="shared" ref="V69" si="215">SUM(R69:U69)</f>
        <v>18000</v>
      </c>
      <c r="W69" s="192">
        <f>VLOOKUP(B69,'Salary -Dec-2024 (Full)'!$B$6:$AE$383,22,0)</f>
        <v>0</v>
      </c>
      <c r="X69" s="192">
        <f>VLOOKUP(B69,'Salary -Dec-2024 (Full)'!$B$6:$AE$383,23,0)</f>
        <v>0</v>
      </c>
      <c r="Y69" s="337">
        <f>VLOOKUP(B69,'Salary -Dec-2024 (Full)'!$B$6:$AE$383,24,0)</f>
        <v>0</v>
      </c>
      <c r="Z69" s="192">
        <f>VLOOKUP(B69,'Salary -Dec-2024 (Full)'!$B$6:$AE$383,25,0)</f>
        <v>0</v>
      </c>
      <c r="AA69" s="192">
        <f>VLOOKUP(B69,'Salary -Dec-2024 (Full)'!$B$6:$AE$383,26,0)</f>
        <v>0</v>
      </c>
      <c r="AB69" s="377">
        <f t="shared" si="206"/>
        <v>0</v>
      </c>
      <c r="AC69" s="71">
        <f t="shared" si="207"/>
        <v>18000</v>
      </c>
      <c r="AD69" s="346" t="str">
        <f>VLOOKUP(B69,'Salary -Dec-2024 (Full)'!$B$6:$AE$383,29,0)</f>
        <v>Bank</v>
      </c>
      <c r="AE69" s="346" t="str">
        <f>VLOOKUP(B69,'Salary -Dec-2024 (Full)'!$B$6:$AE$2853,30,0)</f>
        <v>125.158.0132974</v>
      </c>
      <c r="AG69" s="61"/>
      <c r="AH69" s="183"/>
      <c r="AI69" s="319"/>
    </row>
    <row r="70" spans="1:35" s="47" customFormat="1" ht="21.75" customHeight="1">
      <c r="A70" s="253">
        <v>3</v>
      </c>
      <c r="B70" s="254" t="s">
        <v>372</v>
      </c>
      <c r="C70" s="64" t="str">
        <f>VLOOKUP(B70,'Salary -Dec-2024 (Full)'!$B$8:$AE$381,2,0)</f>
        <v>Md. Shawkot Akbar Khan</v>
      </c>
      <c r="D70" s="115" t="str">
        <f>VLOOKUP(B70,'Salary -Dec-2024 (Full)'!$B$8:$AE$381,3,0)</f>
        <v>Officer In Charge</v>
      </c>
      <c r="E70" s="65" t="str">
        <f>VLOOKUP(B70,'Salary -Dec-2024 (Full)'!$B$8:$AE$381,4,0)</f>
        <v>Fertilizer</v>
      </c>
      <c r="F70" s="265">
        <f>VLOOKUP(B70,'Salary -Dec-2024 (Full)'!$B$8:$AE$381,5,0)</f>
        <v>44805</v>
      </c>
      <c r="G70" s="66">
        <f>VLOOKUP(B70,'Salary -Dec-2024 (Full)'!$B$8:$AE$381,6,0)</f>
        <v>31</v>
      </c>
      <c r="H70" s="67">
        <f>VLOOKUP(B70,'Salary -Dec-2024 (Full)'!$B$8:$AE$381,7,0)</f>
        <v>0</v>
      </c>
      <c r="I70" s="66">
        <f t="shared" ref="I70:I71" si="216">G70-H70</f>
        <v>31</v>
      </c>
      <c r="J70" s="67">
        <f t="shared" ref="J70:J71" si="217">Q70/G70</f>
        <v>903.22580645161293</v>
      </c>
      <c r="K70" s="192">
        <f>VLOOKUP(B70,'Salary -Dec-2024 (Full)'!$B$6:$AE$383,10,0)</f>
        <v>28000</v>
      </c>
      <c r="L70" s="68">
        <f t="shared" ref="L70:L71" si="218">K70*60%</f>
        <v>16800</v>
      </c>
      <c r="M70" s="68">
        <f t="shared" ref="M70:M71" si="219">K70*30%</f>
        <v>8400</v>
      </c>
      <c r="N70" s="68">
        <f t="shared" ref="N70:N71" si="220">K70*6%</f>
        <v>1680</v>
      </c>
      <c r="O70" s="68">
        <f t="shared" ref="O70:O71" si="221">K70*4%</f>
        <v>1120</v>
      </c>
      <c r="P70" s="69"/>
      <c r="Q70" s="70">
        <f t="shared" ref="Q70:Q71" si="222">SUM(L70:P70)</f>
        <v>28000</v>
      </c>
      <c r="R70" s="70">
        <f>VLOOKUP(B70,'Salary -Dec-2024 (Full)'!$B$6:$AE$383,17,0)</f>
        <v>28000</v>
      </c>
      <c r="S70" s="192">
        <f>VLOOKUP(B70,'Salary -Dec-2024 (Full)'!$B$6:$AE$383,18,0)</f>
        <v>0</v>
      </c>
      <c r="T70" s="192">
        <f>VLOOKUP(B70,'Salary -Dec-2024 (Full)'!$B$6:$AE$383,19,0)</f>
        <v>0</v>
      </c>
      <c r="U70" s="337">
        <f>VLOOKUP(B70,'Salary -Dec-2024 (Full)'!$B$6:$AE$383,20,0)</f>
        <v>0</v>
      </c>
      <c r="V70" s="71">
        <f t="shared" ref="V70:V71" si="223">SUM(R70:U70)</f>
        <v>28000</v>
      </c>
      <c r="W70" s="192">
        <f>VLOOKUP(B70,'Salary -Dec-2024 (Full)'!$B$6:$AE$383,22,0)</f>
        <v>0</v>
      </c>
      <c r="X70" s="192">
        <f>VLOOKUP(B70,'Salary -Dec-2024 (Full)'!$B$6:$AE$383,23,0)</f>
        <v>0</v>
      </c>
      <c r="Y70" s="337">
        <f>VLOOKUP(B70,'Salary -Dec-2024 (Full)'!$B$6:$AE$383,24,0)</f>
        <v>840</v>
      </c>
      <c r="Z70" s="192">
        <f>VLOOKUP(B70,'Salary -Dec-2024 (Full)'!$B$6:$AE$383,25,0)</f>
        <v>0</v>
      </c>
      <c r="AA70" s="192">
        <f>VLOOKUP(B70,'Salary -Dec-2024 (Full)'!$B$6:$AE$383,26,0)</f>
        <v>0</v>
      </c>
      <c r="AB70" s="377">
        <f t="shared" ref="AB70:AB71" si="224">SUM(W70:AA70)</f>
        <v>840</v>
      </c>
      <c r="AC70" s="71">
        <f t="shared" ref="AC70:AC71" si="225">ROUND(V70-AB70,0)</f>
        <v>27160</v>
      </c>
      <c r="AD70" s="346" t="str">
        <f>VLOOKUP(B70,'Salary -Dec-2024 (Full)'!$B$6:$AE$383,29,0)</f>
        <v>Bank</v>
      </c>
      <c r="AE70" s="346" t="str">
        <f>VLOOKUP(B70,'Salary -Dec-2024 (Full)'!$B$6:$AE$2853,30,0)</f>
        <v>163.103.0175073</v>
      </c>
      <c r="AG70" s="61"/>
      <c r="AH70" s="183"/>
      <c r="AI70" s="319"/>
    </row>
    <row r="71" spans="1:35" s="47" customFormat="1" ht="21.75" customHeight="1">
      <c r="A71" s="253">
        <v>4</v>
      </c>
      <c r="B71" s="254" t="s">
        <v>377</v>
      </c>
      <c r="C71" s="64" t="str">
        <f>VLOOKUP(B71,'Salary -Dec-2024 (Full)'!$B$8:$AE$381,2,0)</f>
        <v>Md. Nazim Uddin</v>
      </c>
      <c r="D71" s="115" t="str">
        <f>VLOOKUP(B71,'Salary -Dec-2024 (Full)'!$B$8:$AE$381,3,0)</f>
        <v>Store Officer</v>
      </c>
      <c r="E71" s="65" t="str">
        <f>VLOOKUP(B71,'Salary -Dec-2024 (Full)'!$B$8:$AE$381,4,0)</f>
        <v>Fertilizer</v>
      </c>
      <c r="F71" s="265">
        <f>VLOOKUP(B71,'Salary -Dec-2024 (Full)'!$B$8:$AE$381,5,0)</f>
        <v>44849</v>
      </c>
      <c r="G71" s="66">
        <f>VLOOKUP(B71,'Salary -Dec-2024 (Full)'!$B$8:$AE$381,6,0)</f>
        <v>31</v>
      </c>
      <c r="H71" s="67">
        <f>VLOOKUP(B71,'Salary -Dec-2024 (Full)'!$B$8:$AE$381,7,0)</f>
        <v>0</v>
      </c>
      <c r="I71" s="66">
        <f t="shared" si="216"/>
        <v>31</v>
      </c>
      <c r="J71" s="67">
        <f t="shared" si="217"/>
        <v>806.45161290322585</v>
      </c>
      <c r="K71" s="192">
        <f>VLOOKUP(B71,'Salary -Dec-2024 (Full)'!$B$6:$AE$383,10,0)</f>
        <v>25000</v>
      </c>
      <c r="L71" s="68">
        <f t="shared" si="218"/>
        <v>15000</v>
      </c>
      <c r="M71" s="68">
        <f t="shared" si="219"/>
        <v>7500</v>
      </c>
      <c r="N71" s="68">
        <f t="shared" si="220"/>
        <v>1500</v>
      </c>
      <c r="O71" s="68">
        <f t="shared" si="221"/>
        <v>1000</v>
      </c>
      <c r="P71" s="69"/>
      <c r="Q71" s="70">
        <f t="shared" si="222"/>
        <v>25000</v>
      </c>
      <c r="R71" s="70">
        <f>VLOOKUP(B71,'Salary -Dec-2024 (Full)'!$B$6:$AE$383,17,0)</f>
        <v>25000</v>
      </c>
      <c r="S71" s="192">
        <f>VLOOKUP(B71,'Salary -Dec-2024 (Full)'!$B$6:$AE$383,18,0)</f>
        <v>0</v>
      </c>
      <c r="T71" s="192">
        <f>VLOOKUP(B71,'Salary -Dec-2024 (Full)'!$B$6:$AE$383,19,0)</f>
        <v>0</v>
      </c>
      <c r="U71" s="337">
        <f>VLOOKUP(B71,'Salary -Dec-2024 (Full)'!$B$6:$AE$383,20,0)</f>
        <v>0</v>
      </c>
      <c r="V71" s="71">
        <f t="shared" si="223"/>
        <v>25000</v>
      </c>
      <c r="W71" s="192">
        <f>VLOOKUP(B71,'Salary -Dec-2024 (Full)'!$B$6:$AE$383,22,0)</f>
        <v>0</v>
      </c>
      <c r="X71" s="192">
        <f>VLOOKUP(B71,'Salary -Dec-2024 (Full)'!$B$6:$AE$383,23,0)</f>
        <v>0</v>
      </c>
      <c r="Y71" s="337">
        <f>VLOOKUP(B71,'Salary -Dec-2024 (Full)'!$B$6:$AE$383,24,0)</f>
        <v>750</v>
      </c>
      <c r="Z71" s="192">
        <f>VLOOKUP(B71,'Salary -Dec-2024 (Full)'!$B$6:$AE$383,25,0)</f>
        <v>0</v>
      </c>
      <c r="AA71" s="192">
        <f>VLOOKUP(B71,'Salary -Dec-2024 (Full)'!$B$6:$AE$383,26,0)</f>
        <v>0</v>
      </c>
      <c r="AB71" s="377">
        <f t="shared" si="224"/>
        <v>750</v>
      </c>
      <c r="AC71" s="71">
        <f t="shared" si="225"/>
        <v>24250</v>
      </c>
      <c r="AD71" s="346" t="str">
        <f>VLOOKUP(B71,'Salary -Dec-2024 (Full)'!$B$6:$AE$383,29,0)</f>
        <v>Bank</v>
      </c>
      <c r="AE71" s="346" t="str">
        <f>VLOOKUP(B71,'Salary -Dec-2024 (Full)'!$B$6:$AE$2853,30,0)</f>
        <v>163.158.0054637</v>
      </c>
      <c r="AG71" s="61"/>
      <c r="AH71" s="183"/>
      <c r="AI71" s="319"/>
    </row>
    <row r="72" spans="1:35" s="47" customFormat="1" ht="24.75" customHeight="1">
      <c r="A72" s="253">
        <v>5</v>
      </c>
      <c r="B72" s="254" t="s">
        <v>358</v>
      </c>
      <c r="C72" s="64" t="str">
        <f>VLOOKUP(B72,'Salary -Dec-2024 (Full)'!$B$8:$AE$381,2,0)</f>
        <v>Md. Shiful Islam</v>
      </c>
      <c r="D72" s="115" t="str">
        <f>VLOOKUP(B72,'Salary -Dec-2024 (Full)'!$B$8:$AE$381,3,0)</f>
        <v>Asst. Territory Manager</v>
      </c>
      <c r="E72" s="65" t="str">
        <f>VLOOKUP(B72,'Salary -Dec-2024 (Full)'!$B$8:$AE$381,4,0)</f>
        <v>Fertilizer</v>
      </c>
      <c r="F72" s="265">
        <f>VLOOKUP(B72,'Salary -Dec-2024 (Full)'!$B$8:$AE$381,5,0)</f>
        <v>44667</v>
      </c>
      <c r="G72" s="66">
        <f>VLOOKUP(B72,'Salary -Dec-2024 (Full)'!$B$8:$AE$381,6,0)</f>
        <v>31</v>
      </c>
      <c r="H72" s="67">
        <f>VLOOKUP(B72,'Salary -Dec-2024 (Full)'!$B$8:$AE$381,7,0)</f>
        <v>0</v>
      </c>
      <c r="I72" s="66">
        <f t="shared" ref="I72" si="226">G72-H72</f>
        <v>31</v>
      </c>
      <c r="J72" s="67">
        <f t="shared" ref="J72" si="227">Q72/G72</f>
        <v>1048.3870967741937</v>
      </c>
      <c r="K72" s="192">
        <f>VLOOKUP(B72,'Salary -Dec-2024 (Full)'!$B$6:$AE$383,10,0)</f>
        <v>32500</v>
      </c>
      <c r="L72" s="68">
        <f t="shared" ref="L72" si="228">K72*60%</f>
        <v>19500</v>
      </c>
      <c r="M72" s="68">
        <f t="shared" ref="M72" si="229">K72*30%</f>
        <v>9750</v>
      </c>
      <c r="N72" s="68">
        <f t="shared" ref="N72" si="230">K72*6%</f>
        <v>1950</v>
      </c>
      <c r="O72" s="68">
        <f t="shared" ref="O72" si="231">K72*4%</f>
        <v>1300</v>
      </c>
      <c r="P72" s="69"/>
      <c r="Q72" s="70">
        <f t="shared" ref="Q72" si="232">SUM(L72:P72)</f>
        <v>32500</v>
      </c>
      <c r="R72" s="70">
        <f>VLOOKUP(B72,'Salary -Dec-2024 (Full)'!$B$6:$AE$383,17,0)</f>
        <v>32500</v>
      </c>
      <c r="S72" s="192">
        <f>VLOOKUP(B72,'Salary -Dec-2024 (Full)'!$B$6:$AE$383,18,0)</f>
        <v>0</v>
      </c>
      <c r="T72" s="192">
        <f>VLOOKUP(B72,'Salary -Dec-2024 (Full)'!$B$6:$AE$383,19,0)</f>
        <v>0</v>
      </c>
      <c r="U72" s="337">
        <f>VLOOKUP(B72,'Salary -Dec-2024 (Full)'!$B$6:$AE$383,20,0)</f>
        <v>0</v>
      </c>
      <c r="V72" s="71">
        <f t="shared" ref="V72" si="233">SUM(R72:U72)</f>
        <v>32500</v>
      </c>
      <c r="W72" s="192">
        <f>VLOOKUP(B72,'Salary -Dec-2024 (Full)'!$B$6:$AE$383,22,0)</f>
        <v>0</v>
      </c>
      <c r="X72" s="192">
        <f>VLOOKUP(B72,'Salary -Dec-2024 (Full)'!$B$6:$AE$383,23,0)</f>
        <v>0</v>
      </c>
      <c r="Y72" s="337">
        <f>VLOOKUP(B72,'Salary -Dec-2024 (Full)'!$B$6:$AE$383,24,0)</f>
        <v>975</v>
      </c>
      <c r="Z72" s="192">
        <f>VLOOKUP(B72,'Salary -Dec-2024 (Full)'!$B$6:$AE$383,25,0)</f>
        <v>0</v>
      </c>
      <c r="AA72" s="192">
        <f>VLOOKUP(B72,'Salary -Dec-2024 (Full)'!$B$6:$AE$383,26,0)</f>
        <v>0</v>
      </c>
      <c r="AB72" s="377">
        <f t="shared" si="206"/>
        <v>975</v>
      </c>
      <c r="AC72" s="71">
        <f t="shared" si="207"/>
        <v>31525</v>
      </c>
      <c r="AD72" s="346" t="str">
        <f>VLOOKUP(B72,'Salary -Dec-2024 (Full)'!$B$6:$AE$383,29,0)</f>
        <v>Bank</v>
      </c>
      <c r="AE72" s="346" t="str">
        <f>VLOOKUP(B72,'Salary -Dec-2024 (Full)'!$B$6:$AE$2853,30,0)</f>
        <v>106.157.0009890</v>
      </c>
      <c r="AG72" s="61"/>
      <c r="AH72" s="183"/>
      <c r="AI72" s="319"/>
    </row>
    <row r="73" spans="1:35" s="47" customFormat="1" ht="21.75" customHeight="1">
      <c r="A73" s="253">
        <v>6</v>
      </c>
      <c r="B73" s="254" t="s">
        <v>1446</v>
      </c>
      <c r="C73" s="64" t="str">
        <f>VLOOKUP(B73,'Salary -Dec-2024 (Full)'!$B$8:$AE$381,2,0)</f>
        <v>Md. Rofiqul Islam</v>
      </c>
      <c r="D73" s="115" t="str">
        <f>VLOOKUP(B73,'Salary -Dec-2024 (Full)'!$B$8:$AE$381,3,0)</f>
        <v>Logistic Officer</v>
      </c>
      <c r="E73" s="65" t="str">
        <f>VLOOKUP(B73,'Salary -Dec-2024 (Full)'!$B$8:$AE$381,4,0)</f>
        <v>Pesticide &amp; Fertilizer</v>
      </c>
      <c r="F73" s="265">
        <f>VLOOKUP(B73,'Salary -Dec-2024 (Full)'!$B$8:$AE$381,5,0)</f>
        <v>45479</v>
      </c>
      <c r="G73" s="66">
        <f>VLOOKUP(B73,'Salary -Dec-2024 (Full)'!$B$8:$AE$381,6,0)</f>
        <v>31</v>
      </c>
      <c r="H73" s="67">
        <f>VLOOKUP(B73,'Salary -Dec-2024 (Full)'!$B$8:$AE$381,7,0)</f>
        <v>0</v>
      </c>
      <c r="I73" s="66">
        <f t="shared" ref="I73" si="234">G73-H73</f>
        <v>31</v>
      </c>
      <c r="J73" s="67">
        <f t="shared" ref="J73" si="235">Q73/G73</f>
        <v>580.64516129032256</v>
      </c>
      <c r="K73" s="192">
        <f>VLOOKUP(B73,'Salary -Dec-2024 (Full)'!$B$6:$AE$383,10,0)</f>
        <v>18000</v>
      </c>
      <c r="L73" s="68">
        <f t="shared" ref="L73" si="236">K73*60%</f>
        <v>10800</v>
      </c>
      <c r="M73" s="68">
        <f t="shared" ref="M73" si="237">K73*30%</f>
        <v>5400</v>
      </c>
      <c r="N73" s="68">
        <f t="shared" ref="N73" si="238">K73*6%</f>
        <v>1080</v>
      </c>
      <c r="O73" s="68">
        <f t="shared" ref="O73" si="239">K73*4%</f>
        <v>720</v>
      </c>
      <c r="P73" s="69"/>
      <c r="Q73" s="70">
        <f t="shared" ref="Q73" si="240">SUM(L73:P73)</f>
        <v>18000</v>
      </c>
      <c r="R73" s="70">
        <f>VLOOKUP(B73,'Salary -Dec-2024 (Full)'!$B$6:$AE$383,17,0)</f>
        <v>18000</v>
      </c>
      <c r="S73" s="192">
        <f>VLOOKUP(B73,'Salary -Dec-2024 (Full)'!$B$6:$AE$383,18,0)</f>
        <v>0</v>
      </c>
      <c r="T73" s="192">
        <f>VLOOKUP(B73,'Salary -Dec-2024 (Full)'!$B$6:$AE$383,19,0)</f>
        <v>0</v>
      </c>
      <c r="U73" s="337">
        <f>VLOOKUP(B73,'Salary -Dec-2024 (Full)'!$B$6:$AE$383,20,0)</f>
        <v>0</v>
      </c>
      <c r="V73" s="71">
        <f t="shared" ref="V73" si="241">SUM(R73:U73)</f>
        <v>18000</v>
      </c>
      <c r="W73" s="192">
        <f>VLOOKUP(B73,'Salary -Dec-2024 (Full)'!$B$6:$AE$383,22,0)</f>
        <v>0</v>
      </c>
      <c r="X73" s="192">
        <f>VLOOKUP(B73,'Salary -Dec-2024 (Full)'!$B$6:$AE$383,23,0)</f>
        <v>0</v>
      </c>
      <c r="Y73" s="337">
        <f>VLOOKUP(B73,'Salary -Dec-2024 (Full)'!$B$6:$AE$383,24,0)</f>
        <v>0</v>
      </c>
      <c r="Z73" s="192">
        <f>VLOOKUP(B73,'Salary -Dec-2024 (Full)'!$B$6:$AE$383,25,0)</f>
        <v>0</v>
      </c>
      <c r="AA73" s="192">
        <f>VLOOKUP(B73,'Salary -Dec-2024 (Full)'!$B$6:$AE$383,26,0)</f>
        <v>0</v>
      </c>
      <c r="AB73" s="377">
        <f t="shared" ref="AB73" si="242">SUM(W73:AA73)</f>
        <v>0</v>
      </c>
      <c r="AC73" s="71">
        <f t="shared" ref="AC73" si="243">ROUND(V73-AB73,0)</f>
        <v>18000</v>
      </c>
      <c r="AD73" s="346" t="str">
        <f>VLOOKUP(B73,'Salary -Dec-2024 (Full)'!$B$6:$AE$383,29,0)</f>
        <v>Bank</v>
      </c>
      <c r="AE73" s="346" t="str">
        <f>VLOOKUP(B73,'Salary -Dec-2024 (Full)'!$B$6:$AE$2853,30,0)</f>
        <v>163.158.0125532</v>
      </c>
      <c r="AG73" s="61"/>
      <c r="AH73" s="183"/>
      <c r="AI73" s="319"/>
    </row>
    <row r="74" spans="1:35" s="61" customFormat="1" ht="16.5">
      <c r="A74" s="1031" t="s">
        <v>67</v>
      </c>
      <c r="B74" s="1032"/>
      <c r="C74" s="1033"/>
      <c r="D74" s="1034"/>
      <c r="E74" s="1040"/>
      <c r="F74" s="1091"/>
      <c r="G74" s="1040"/>
      <c r="H74" s="1040"/>
      <c r="I74" s="1040"/>
      <c r="J74" s="1040"/>
      <c r="K74" s="1037">
        <f>SUM(K68:K73)</f>
        <v>139500</v>
      </c>
      <c r="L74" s="1037">
        <f t="shared" ref="L74:AB74" si="244">SUM(L68:L73)</f>
        <v>83700</v>
      </c>
      <c r="M74" s="1037">
        <f t="shared" si="244"/>
        <v>41850</v>
      </c>
      <c r="N74" s="1037">
        <f t="shared" si="244"/>
        <v>8370</v>
      </c>
      <c r="O74" s="1037">
        <f t="shared" si="244"/>
        <v>5580</v>
      </c>
      <c r="P74" s="1037">
        <f t="shared" si="244"/>
        <v>0</v>
      </c>
      <c r="Q74" s="1037">
        <f t="shared" si="244"/>
        <v>139500</v>
      </c>
      <c r="R74" s="1037">
        <f t="shared" si="244"/>
        <v>139500</v>
      </c>
      <c r="S74" s="1037">
        <f t="shared" si="244"/>
        <v>0</v>
      </c>
      <c r="T74" s="1037">
        <f t="shared" si="244"/>
        <v>0</v>
      </c>
      <c r="U74" s="1037">
        <f t="shared" si="244"/>
        <v>0</v>
      </c>
      <c r="V74" s="1037">
        <f t="shared" si="244"/>
        <v>139500</v>
      </c>
      <c r="W74" s="1037">
        <f t="shared" si="244"/>
        <v>0</v>
      </c>
      <c r="X74" s="1037">
        <f t="shared" si="244"/>
        <v>0</v>
      </c>
      <c r="Y74" s="1037">
        <f t="shared" si="244"/>
        <v>2565</v>
      </c>
      <c r="Z74" s="1037">
        <f t="shared" si="244"/>
        <v>0</v>
      </c>
      <c r="AA74" s="1037">
        <f t="shared" si="244"/>
        <v>0</v>
      </c>
      <c r="AB74" s="1037">
        <f t="shared" si="244"/>
        <v>2565</v>
      </c>
      <c r="AC74" s="1037">
        <f>SUM(AC68:AC73)</f>
        <v>136935</v>
      </c>
      <c r="AD74" s="1038"/>
      <c r="AE74" s="1038"/>
      <c r="AH74" s="183"/>
      <c r="AI74" s="320"/>
    </row>
    <row r="75" spans="1:35" s="130" customFormat="1" ht="16.5">
      <c r="A75" s="362" t="s">
        <v>587</v>
      </c>
      <c r="B75" s="121"/>
      <c r="C75" s="122"/>
      <c r="D75" s="143"/>
      <c r="E75" s="121"/>
      <c r="F75" s="363"/>
      <c r="G75" s="123"/>
      <c r="H75" s="360"/>
      <c r="I75" s="123"/>
      <c r="J75" s="124"/>
      <c r="K75" s="361"/>
      <c r="L75" s="361"/>
      <c r="M75" s="361"/>
      <c r="N75" s="361"/>
      <c r="O75" s="361"/>
      <c r="P75" s="361"/>
      <c r="Q75" s="123"/>
      <c r="R75" s="385"/>
      <c r="S75" s="361"/>
      <c r="T75" s="361"/>
      <c r="U75" s="361"/>
      <c r="V75" s="469"/>
      <c r="W75" s="469"/>
      <c r="X75" s="470"/>
      <c r="Y75" s="471"/>
      <c r="Z75" s="470"/>
      <c r="AA75" s="470"/>
      <c r="AB75" s="470"/>
      <c r="AC75" s="472"/>
      <c r="AD75" s="128"/>
      <c r="AE75" s="129"/>
      <c r="AG75" s="61"/>
      <c r="AH75" s="198"/>
    </row>
    <row r="76" spans="1:35" s="47" customFormat="1" ht="20.25" customHeight="1">
      <c r="A76" s="501">
        <v>1</v>
      </c>
      <c r="B76" s="502" t="s">
        <v>523</v>
      </c>
      <c r="C76" s="50" t="str">
        <f>VLOOKUP(B76,Attendance!$B$6:$D$385,2,0)</f>
        <v>Golam Naser Zilany</v>
      </c>
      <c r="D76" s="279" t="str">
        <f>VLOOKUP(B76,'Salary -Dec-2024 (Full)'!$B$6:$D$286,3,0)</f>
        <v>Asst. Manager</v>
      </c>
      <c r="E76" s="51" t="str">
        <f>VLOOKUP(B76,'Salary -Dec-2024 (Full)'!$B$6:$AE$286,4,0)</f>
        <v>Seeds</v>
      </c>
      <c r="F76" s="288">
        <f>VLOOKUP(B76,'Salary -Dec-2024 (Full)'!$B$6:$AE$286,5,0)</f>
        <v>44942</v>
      </c>
      <c r="G76" s="52">
        <f>VLOOKUP(B76,'Salary -Dec-2024 (Full)'!$B$6:$AE$286,6,0)</f>
        <v>31</v>
      </c>
      <c r="H76" s="53">
        <f>VLOOKUP(B76,'Salary -Dec-2024 (Full)'!$B$6:$AE$286,7,0)</f>
        <v>0</v>
      </c>
      <c r="I76" s="52">
        <f>G76-H76</f>
        <v>31</v>
      </c>
      <c r="J76" s="53">
        <f>Q76/G76</f>
        <v>2322.5806451612902</v>
      </c>
      <c r="K76" s="58">
        <f>VLOOKUP(B76,'Salary -Dec-2024 (Full)'!$B$6:$AE$286,10,0)</f>
        <v>72000</v>
      </c>
      <c r="L76" s="54">
        <f>K76*60%</f>
        <v>43200</v>
      </c>
      <c r="M76" s="54">
        <f>K76*30%</f>
        <v>21600</v>
      </c>
      <c r="N76" s="54">
        <f>K76*6%</f>
        <v>4320</v>
      </c>
      <c r="O76" s="54">
        <f>K76*4%</f>
        <v>2880</v>
      </c>
      <c r="P76" s="55"/>
      <c r="Q76" s="56">
        <f>SUM(L76:P76)</f>
        <v>72000</v>
      </c>
      <c r="R76" s="188">
        <f>VLOOKUP(B76,'Salary -Dec-2024 (Full)'!$B$6:$AE$383,17,0)</f>
        <v>72000</v>
      </c>
      <c r="S76" s="58">
        <f>VLOOKUP(B76,'Salary -Dec-2024 (Full)'!$B$6:$AE$383,18,0)</f>
        <v>0</v>
      </c>
      <c r="T76" s="58">
        <f>VLOOKUP(B76,'Salary -Dec-2024 (Full)'!$B$6:$AE$383,19,0)</f>
        <v>0</v>
      </c>
      <c r="U76" s="393">
        <f>VLOOKUP(B76,'Salary -Dec-2024 (Full)'!$B$6:$AE$383,20,0)</f>
        <v>0</v>
      </c>
      <c r="V76" s="57">
        <f>SUM(R76:U76)</f>
        <v>72000</v>
      </c>
      <c r="W76" s="58">
        <f>VLOOKUP(B76,'Salary -Dec-2024 (Full)'!$B$6:$AE$383,22,0)</f>
        <v>417</v>
      </c>
      <c r="X76" s="58">
        <f>VLOOKUP(B76,'Salary -Dec-2024 (Full)'!$B$6:$AE$383,23,0)</f>
        <v>0</v>
      </c>
      <c r="Y76" s="393">
        <f>VLOOKUP(B76,'Salary -Dec-2024 (Full)'!$B$6:$AE$383,24,0)</f>
        <v>2160</v>
      </c>
      <c r="Z76" s="58">
        <f>VLOOKUP(B76,'Salary -Dec-2024 (Full)'!$B$6:$AE$383,25,0)</f>
        <v>0</v>
      </c>
      <c r="AA76" s="58">
        <f>VLOOKUP(B76,'Salary -Dec-2024 (Full)'!$B$6:$AE$383,26,0)</f>
        <v>0</v>
      </c>
      <c r="AB76" s="588">
        <f>SUM(W76:AA76)</f>
        <v>2577</v>
      </c>
      <c r="AC76" s="57">
        <f>ROUND(V76-AB76,0)</f>
        <v>69423</v>
      </c>
      <c r="AD76" s="504" t="str">
        <f>VLOOKUP(B76,'Salary -Dec-2024 (Full)'!$B$6:$AE$286,29,0)</f>
        <v>Bank</v>
      </c>
      <c r="AE76" s="504" t="str">
        <f>VLOOKUP(B76,'Salary -Dec-2024 (Full)'!$B$6:$AE$286,30,0)</f>
        <v>103.103.1342095</v>
      </c>
      <c r="AG76" s="61"/>
      <c r="AH76" s="183"/>
      <c r="AI76" s="319"/>
    </row>
    <row r="77" spans="1:35" s="47" customFormat="1" ht="16.5">
      <c r="A77" s="1031"/>
      <c r="B77" s="1032"/>
      <c r="C77" s="1033"/>
      <c r="D77" s="1034"/>
      <c r="E77" s="1040"/>
      <c r="F77" s="1036"/>
      <c r="G77" s="1036"/>
      <c r="H77" s="1036"/>
      <c r="I77" s="1036"/>
      <c r="J77" s="1036"/>
      <c r="K77" s="1037">
        <f t="shared" ref="K77:AB77" si="245">SUM(K76:K76)</f>
        <v>72000</v>
      </c>
      <c r="L77" s="1037">
        <f t="shared" si="245"/>
        <v>43200</v>
      </c>
      <c r="M77" s="1037">
        <f t="shared" si="245"/>
        <v>21600</v>
      </c>
      <c r="N77" s="1037">
        <f t="shared" si="245"/>
        <v>4320</v>
      </c>
      <c r="O77" s="1037">
        <f t="shared" si="245"/>
        <v>2880</v>
      </c>
      <c r="P77" s="1037">
        <f t="shared" si="245"/>
        <v>0</v>
      </c>
      <c r="Q77" s="1037">
        <f t="shared" si="245"/>
        <v>72000</v>
      </c>
      <c r="R77" s="1037">
        <f t="shared" si="245"/>
        <v>72000</v>
      </c>
      <c r="S77" s="1037">
        <f t="shared" si="245"/>
        <v>0</v>
      </c>
      <c r="T77" s="1037">
        <f t="shared" si="245"/>
        <v>0</v>
      </c>
      <c r="U77" s="1037">
        <f t="shared" si="245"/>
        <v>0</v>
      </c>
      <c r="V77" s="1037">
        <f t="shared" si="245"/>
        <v>72000</v>
      </c>
      <c r="W77" s="1037">
        <f t="shared" si="245"/>
        <v>417</v>
      </c>
      <c r="X77" s="1037">
        <f t="shared" si="245"/>
        <v>0</v>
      </c>
      <c r="Y77" s="1037">
        <f t="shared" si="245"/>
        <v>2160</v>
      </c>
      <c r="Z77" s="1037">
        <f t="shared" si="245"/>
        <v>0</v>
      </c>
      <c r="AA77" s="1037">
        <f t="shared" si="245"/>
        <v>0</v>
      </c>
      <c r="AB77" s="1037">
        <f t="shared" si="245"/>
        <v>2577</v>
      </c>
      <c r="AC77" s="1037">
        <f>SUM(AC76:AC76)</f>
        <v>69423</v>
      </c>
      <c r="AD77" s="1037"/>
      <c r="AE77" s="1039"/>
      <c r="AG77" s="61"/>
      <c r="AH77" s="198"/>
    </row>
    <row r="78" spans="1:35" s="47" customFormat="1" ht="15.75">
      <c r="A78" s="347" t="s">
        <v>305</v>
      </c>
      <c r="B78" s="268"/>
      <c r="C78" s="268"/>
      <c r="D78" s="348"/>
      <c r="E78" s="268"/>
      <c r="F78" s="474"/>
      <c r="G78" s="268"/>
      <c r="H78" s="267"/>
      <c r="I78" s="268"/>
      <c r="J78" s="268"/>
      <c r="K78" s="268"/>
      <c r="L78" s="268"/>
      <c r="M78" s="268"/>
      <c r="N78" s="268"/>
      <c r="O78" s="268"/>
      <c r="P78" s="268"/>
      <c r="Q78" s="268"/>
      <c r="R78" s="268"/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557"/>
      <c r="AG78" s="61"/>
      <c r="AH78" s="183"/>
      <c r="AI78" s="320"/>
    </row>
    <row r="79" spans="1:35" s="47" customFormat="1" ht="20.25" customHeight="1">
      <c r="A79" s="339">
        <v>1</v>
      </c>
      <c r="B79" s="340" t="s">
        <v>1229</v>
      </c>
      <c r="C79" s="64" t="str">
        <f>VLOOKUP(B79,'Salary -Dec-2024 (Full)'!$B$8:$AE$381,2,0)</f>
        <v>Md Abdul Alim</v>
      </c>
      <c r="D79" s="115" t="str">
        <f>VLOOKUP(B79,'Salary -Dec-2024 (Full)'!$B$8:$AE$381,3,0)</f>
        <v>Driver (Van)</v>
      </c>
      <c r="E79" s="65" t="str">
        <f>VLOOKUP(B79,'Salary -Dec-2024 (Full)'!$B$8:$AE$381,4,0)</f>
        <v>Transport</v>
      </c>
      <c r="F79" s="265">
        <f>VLOOKUP(B79,'Salary -Dec-2024 (Full)'!$B$8:$AE$381,5,0)</f>
        <v>45367</v>
      </c>
      <c r="G79" s="66">
        <f>VLOOKUP(B79,'Salary -Dec-2024 (Full)'!$B$8:$AE$381,6,0)</f>
        <v>31</v>
      </c>
      <c r="H79" s="67">
        <f>VLOOKUP(B79,'Salary -Dec-2024 (Full)'!$B$8:$AE$381,7,0)</f>
        <v>0</v>
      </c>
      <c r="I79" s="66">
        <f t="shared" ref="I79" si="246">G79-H79</f>
        <v>31</v>
      </c>
      <c r="J79" s="67">
        <f t="shared" ref="J79" si="247">Q79/G79</f>
        <v>596.77419354838707</v>
      </c>
      <c r="K79" s="192">
        <f>VLOOKUP(B79,'Salary -Dec-2024 (Full)'!$B$6:$AE$383,10,0)</f>
        <v>18500</v>
      </c>
      <c r="L79" s="68">
        <f t="shared" ref="L79" si="248">K79*60%</f>
        <v>11100</v>
      </c>
      <c r="M79" s="68">
        <f t="shared" ref="M79" si="249">K79*30%</f>
        <v>5550</v>
      </c>
      <c r="N79" s="68">
        <f t="shared" ref="N79" si="250">K79*6%</f>
        <v>1110</v>
      </c>
      <c r="O79" s="68">
        <f t="shared" ref="O79" si="251">K79*4%</f>
        <v>740</v>
      </c>
      <c r="P79" s="69"/>
      <c r="Q79" s="70">
        <f t="shared" ref="Q79" si="252">SUM(L79:P79)</f>
        <v>18500</v>
      </c>
      <c r="R79" s="70">
        <f>VLOOKUP(B79,'Salary -Dec-2024 (Full)'!$B$6:$AE$383,17,0)</f>
        <v>18500</v>
      </c>
      <c r="S79" s="192">
        <f>VLOOKUP(B79,'Salary -Dec-2024 (Full)'!$B$6:$AE$383,18,0)</f>
        <v>0</v>
      </c>
      <c r="T79" s="192">
        <f>VLOOKUP(B79,'Salary -Dec-2024 (Full)'!$B$6:$AE$383,19,0)</f>
        <v>0</v>
      </c>
      <c r="U79" s="337">
        <f>VLOOKUP(B79,'Salary -Dec-2024 (Full)'!$B$6:$AE$383,20,0)</f>
        <v>0</v>
      </c>
      <c r="V79" s="71">
        <f t="shared" ref="V79" si="253">SUM(R79:U79)</f>
        <v>18500</v>
      </c>
      <c r="W79" s="192">
        <f>VLOOKUP(B79,'Salary -Dec-2024 (Full)'!$B$6:$AE$383,22,0)</f>
        <v>0</v>
      </c>
      <c r="X79" s="192">
        <f>VLOOKUP(B79,'Salary -Dec-2024 (Full)'!$B$6:$AE$383,23,0)</f>
        <v>0</v>
      </c>
      <c r="Y79" s="337">
        <f>VLOOKUP(B79,'Salary -Dec-2024 (Full)'!$B$6:$AE$383,24,0)</f>
        <v>0</v>
      </c>
      <c r="Z79" s="192">
        <f>VLOOKUP(B79,'Salary -Dec-2024 (Full)'!$B$6:$AE$383,25,0)</f>
        <v>0</v>
      </c>
      <c r="AA79" s="192">
        <f>VLOOKUP(B79,'Salary -Dec-2024 (Full)'!$B$6:$AE$383,26,0)</f>
        <v>0</v>
      </c>
      <c r="AB79" s="377">
        <f t="shared" ref="AB79" si="254">SUM(W79:AA79)</f>
        <v>0</v>
      </c>
      <c r="AC79" s="71">
        <f t="shared" ref="AC79" si="255">ROUND(V79-AB79,0)</f>
        <v>18500</v>
      </c>
      <c r="AD79" s="346" t="str">
        <f>VLOOKUP(B79,'Salary -Dec-2024 (Full)'!$B$6:$AE$383,29,0)</f>
        <v>Bank</v>
      </c>
      <c r="AE79" s="346" t="str">
        <f>VLOOKUP(B79,'Salary -Dec-2024 (Full)'!$B$6:$AE$2853,30,0)</f>
        <v>162.103.0249854</v>
      </c>
      <c r="AG79" s="61"/>
      <c r="AH79" s="183"/>
      <c r="AI79" s="319"/>
    </row>
    <row r="80" spans="1:35" s="47" customFormat="1" ht="20.25" customHeight="1">
      <c r="A80" s="339">
        <v>2</v>
      </c>
      <c r="B80" s="340" t="s">
        <v>308</v>
      </c>
      <c r="C80" s="64" t="str">
        <f>VLOOKUP(B80,'Salary -Dec-2024 (Full)'!$B$8:$AE$381,2,0)</f>
        <v>Md. Shaazahan Ali</v>
      </c>
      <c r="D80" s="115" t="str">
        <f>VLOOKUP(B80,'Salary -Dec-2024 (Full)'!$B$8:$AE$381,3,0)</f>
        <v>Driver</v>
      </c>
      <c r="E80" s="65" t="str">
        <f>VLOOKUP(B80,'Salary -Dec-2024 (Full)'!$B$8:$AE$381,4,0)</f>
        <v>Transport</v>
      </c>
      <c r="F80" s="265">
        <f>VLOOKUP(B80,'Salary -Dec-2024 (Full)'!$B$8:$AE$381,5,0)</f>
        <v>44583</v>
      </c>
      <c r="G80" s="66">
        <f>VLOOKUP(B80,'Salary -Dec-2024 (Full)'!$B$8:$AE$381,6,0)</f>
        <v>31</v>
      </c>
      <c r="H80" s="67">
        <f>VLOOKUP(B80,'Salary -Dec-2024 (Full)'!$B$8:$AE$381,7,0)</f>
        <v>0</v>
      </c>
      <c r="I80" s="66">
        <f t="shared" ref="I80" si="256">G80-H80</f>
        <v>31</v>
      </c>
      <c r="J80" s="67">
        <f t="shared" ref="J80" si="257">Q80/G80</f>
        <v>709.67741935483866</v>
      </c>
      <c r="K80" s="192">
        <f>VLOOKUP(B80,'Salary -Dec-2024 (Full)'!$B$6:$AE$383,10,0)</f>
        <v>22000</v>
      </c>
      <c r="L80" s="68">
        <f t="shared" ref="L80" si="258">K80*60%</f>
        <v>13200</v>
      </c>
      <c r="M80" s="68">
        <f t="shared" ref="M80" si="259">K80*30%</f>
        <v>6600</v>
      </c>
      <c r="N80" s="68">
        <f t="shared" ref="N80" si="260">K80*6%</f>
        <v>1320</v>
      </c>
      <c r="O80" s="68">
        <f t="shared" ref="O80" si="261">K80*4%</f>
        <v>880</v>
      </c>
      <c r="P80" s="69"/>
      <c r="Q80" s="70">
        <f t="shared" ref="Q80" si="262">SUM(L80:P80)</f>
        <v>22000</v>
      </c>
      <c r="R80" s="70">
        <f>VLOOKUP(B80,'Salary -Dec-2024 (Full)'!$B$6:$AE$383,17,0)</f>
        <v>22000</v>
      </c>
      <c r="S80" s="192">
        <f>VLOOKUP(B80,'Salary -Dec-2024 (Full)'!$B$6:$AE$383,18,0)</f>
        <v>0</v>
      </c>
      <c r="T80" s="192">
        <f>VLOOKUP(B80,'Salary -Dec-2024 (Full)'!$B$6:$AE$383,19,0)</f>
        <v>0</v>
      </c>
      <c r="U80" s="337">
        <f>VLOOKUP(B80,'Salary -Dec-2024 (Full)'!$B$6:$AE$383,20,0)</f>
        <v>0</v>
      </c>
      <c r="V80" s="71">
        <f t="shared" ref="V80" si="263">SUM(R80:U80)</f>
        <v>22000</v>
      </c>
      <c r="W80" s="192">
        <f>VLOOKUP(B80,'Salary -Dec-2024 (Full)'!$B$6:$AE$383,22,0)</f>
        <v>0</v>
      </c>
      <c r="X80" s="192">
        <f>VLOOKUP(B80,'Salary -Dec-2024 (Full)'!$B$6:$AE$383,23,0)</f>
        <v>0</v>
      </c>
      <c r="Y80" s="337">
        <f>VLOOKUP(B80,'Salary -Dec-2024 (Full)'!$B$6:$AE$383,24,0)</f>
        <v>660</v>
      </c>
      <c r="Z80" s="192">
        <f>VLOOKUP(B80,'Salary -Dec-2024 (Full)'!$B$6:$AE$383,25,0)</f>
        <v>0</v>
      </c>
      <c r="AA80" s="192">
        <f>VLOOKUP(B80,'Salary -Dec-2024 (Full)'!$B$6:$AE$383,26,0)</f>
        <v>0</v>
      </c>
      <c r="AB80" s="377">
        <f t="shared" ref="AB80" si="264">SUM(W80:AA80)</f>
        <v>660</v>
      </c>
      <c r="AC80" s="71">
        <f t="shared" ref="AC80" si="265">ROUND(V80-AB80,0)</f>
        <v>21340</v>
      </c>
      <c r="AD80" s="346" t="str">
        <f>VLOOKUP(B80,'Salary -Dec-2024 (Full)'!$B$6:$AE$383,29,0)</f>
        <v>Bank</v>
      </c>
      <c r="AE80" s="346" t="str">
        <f>VLOOKUP(B80,'Salary -Dec-2024 (Full)'!$B$6:$AE$2853,30,0)</f>
        <v>103.103.1356825</v>
      </c>
      <c r="AG80" s="61"/>
      <c r="AH80" s="183"/>
      <c r="AI80" s="319"/>
    </row>
    <row r="81" spans="1:35" s="47" customFormat="1" ht="20.25" customHeight="1">
      <c r="A81" s="339">
        <v>3</v>
      </c>
      <c r="B81" s="340" t="s">
        <v>314</v>
      </c>
      <c r="C81" s="64" t="str">
        <f>VLOOKUP(B81,'Salary -Dec-2024 (Full)'!$B$8:$AE$381,2,0)</f>
        <v>Md. Mahmudul Hasan</v>
      </c>
      <c r="D81" s="115" t="str">
        <f>VLOOKUP(B81,'Salary -Dec-2024 (Full)'!$B$8:$AE$381,3,0)</f>
        <v>Driver</v>
      </c>
      <c r="E81" s="65" t="str">
        <f>VLOOKUP(B81,'Salary -Dec-2024 (Full)'!$B$8:$AE$381,4,0)</f>
        <v>Tranport</v>
      </c>
      <c r="F81" s="265">
        <f>VLOOKUP(B81,'Salary -Dec-2024 (Full)'!$B$8:$AE$381,5,0)</f>
        <v>44828</v>
      </c>
      <c r="G81" s="66">
        <f>VLOOKUP(B81,'Salary -Dec-2024 (Full)'!$B$8:$AE$381,6,0)</f>
        <v>31</v>
      </c>
      <c r="H81" s="67">
        <f>VLOOKUP(B81,'Salary -Dec-2024 (Full)'!$B$8:$AE$381,7,0)</f>
        <v>0</v>
      </c>
      <c r="I81" s="66">
        <f t="shared" ref="I81:I85" si="266">G81-H81</f>
        <v>31</v>
      </c>
      <c r="J81" s="67">
        <f t="shared" ref="J81:J85" si="267">Q81/G81</f>
        <v>709.67741935483866</v>
      </c>
      <c r="K81" s="192">
        <f>VLOOKUP(B81,'Salary -Dec-2024 (Full)'!$B$6:$AE$383,10,0)</f>
        <v>22000</v>
      </c>
      <c r="L81" s="68">
        <f t="shared" ref="L81:L85" si="268">K81*60%</f>
        <v>13200</v>
      </c>
      <c r="M81" s="68">
        <f t="shared" ref="M81:M85" si="269">K81*30%</f>
        <v>6600</v>
      </c>
      <c r="N81" s="68">
        <f t="shared" ref="N81:N85" si="270">K81*6%</f>
        <v>1320</v>
      </c>
      <c r="O81" s="68">
        <f t="shared" ref="O81:O85" si="271">K81*4%</f>
        <v>880</v>
      </c>
      <c r="P81" s="69"/>
      <c r="Q81" s="70">
        <f t="shared" ref="Q81:Q85" si="272">SUM(L81:P81)</f>
        <v>22000</v>
      </c>
      <c r="R81" s="70">
        <f>VLOOKUP(B81,'Salary -Dec-2024 (Full)'!$B$6:$AE$383,17,0)</f>
        <v>22000</v>
      </c>
      <c r="S81" s="192">
        <f>VLOOKUP(B81,'Salary -Dec-2024 (Full)'!$B$6:$AE$383,18,0)</f>
        <v>0</v>
      </c>
      <c r="T81" s="192">
        <f>VLOOKUP(B81,'Salary -Dec-2024 (Full)'!$B$6:$AE$383,19,0)</f>
        <v>0</v>
      </c>
      <c r="U81" s="337">
        <f>VLOOKUP(B81,'Salary -Dec-2024 (Full)'!$B$6:$AE$383,20,0)</f>
        <v>0</v>
      </c>
      <c r="V81" s="71">
        <f t="shared" ref="V81:V85" si="273">SUM(R81:U81)</f>
        <v>22000</v>
      </c>
      <c r="W81" s="192">
        <f>VLOOKUP(B81,'Salary -Dec-2024 (Full)'!$B$6:$AE$383,22,0)</f>
        <v>0</v>
      </c>
      <c r="X81" s="192">
        <f>VLOOKUP(B81,'Salary -Dec-2024 (Full)'!$B$6:$AE$383,23,0)</f>
        <v>0</v>
      </c>
      <c r="Y81" s="337">
        <f>VLOOKUP(B81,'Salary -Dec-2024 (Full)'!$B$6:$AE$383,24,0)</f>
        <v>660</v>
      </c>
      <c r="Z81" s="192">
        <f>VLOOKUP(B81,'Salary -Dec-2024 (Full)'!$B$6:$AE$383,25,0)</f>
        <v>0</v>
      </c>
      <c r="AA81" s="192">
        <f>VLOOKUP(B81,'Salary -Dec-2024 (Full)'!$B$6:$AE$383,26,0)</f>
        <v>0</v>
      </c>
      <c r="AB81" s="377">
        <f t="shared" ref="AB81:AB85" si="274">SUM(W81:AA81)</f>
        <v>660</v>
      </c>
      <c r="AC81" s="71">
        <f t="shared" ref="AC81:AC85" si="275">ROUND(V81-AB81,0)</f>
        <v>21340</v>
      </c>
      <c r="AD81" s="346" t="str">
        <f>VLOOKUP(B81,'Salary -Dec-2024 (Full)'!$B$6:$AE$383,29,0)</f>
        <v>Bank</v>
      </c>
      <c r="AE81" s="346" t="str">
        <f>VLOOKUP(B81,'Salary -Dec-2024 (Full)'!$B$6:$AE$2853,30,0)</f>
        <v>282.103.0032386</v>
      </c>
      <c r="AG81" s="61"/>
      <c r="AH81" s="183"/>
      <c r="AI81" s="319"/>
    </row>
    <row r="82" spans="1:35" s="47" customFormat="1" ht="20.25" customHeight="1">
      <c r="A82" s="339">
        <v>4</v>
      </c>
      <c r="B82" s="340" t="s">
        <v>317</v>
      </c>
      <c r="C82" s="64" t="str">
        <f>VLOOKUP(B82,'Salary -Dec-2024 (Full)'!$B$8:$AE$381,2,0)</f>
        <v>Md. Akabbor Ali</v>
      </c>
      <c r="D82" s="115" t="str">
        <f>VLOOKUP(B82,'Salary -Dec-2024 (Full)'!$B$8:$AE$381,3,0)</f>
        <v>Driver</v>
      </c>
      <c r="E82" s="65" t="str">
        <f>VLOOKUP(B82,'Salary -Dec-2024 (Full)'!$B$8:$AE$381,4,0)</f>
        <v>Tranport</v>
      </c>
      <c r="F82" s="265">
        <f>VLOOKUP(B82,'Salary -Dec-2024 (Full)'!$B$8:$AE$381,5,0)</f>
        <v>44844</v>
      </c>
      <c r="G82" s="66">
        <f>VLOOKUP(B82,'Salary -Dec-2024 (Full)'!$B$8:$AE$381,6,0)</f>
        <v>31</v>
      </c>
      <c r="H82" s="67">
        <f>VLOOKUP(B82,'Salary -Dec-2024 (Full)'!$B$8:$AE$381,7,0)</f>
        <v>0</v>
      </c>
      <c r="I82" s="66">
        <f t="shared" si="266"/>
        <v>31</v>
      </c>
      <c r="J82" s="67">
        <f t="shared" si="267"/>
        <v>580.64516129032256</v>
      </c>
      <c r="K82" s="192">
        <f>VLOOKUP(B82,'Salary -Dec-2024 (Full)'!$B$6:$AE$383,10,0)</f>
        <v>18000</v>
      </c>
      <c r="L82" s="68">
        <f t="shared" si="268"/>
        <v>10800</v>
      </c>
      <c r="M82" s="68">
        <f t="shared" si="269"/>
        <v>5400</v>
      </c>
      <c r="N82" s="68">
        <f t="shared" si="270"/>
        <v>1080</v>
      </c>
      <c r="O82" s="68">
        <f t="shared" si="271"/>
        <v>720</v>
      </c>
      <c r="P82" s="69"/>
      <c r="Q82" s="70">
        <f t="shared" si="272"/>
        <v>18000</v>
      </c>
      <c r="R82" s="70">
        <f>VLOOKUP(B82,'Salary -Dec-2024 (Full)'!$B$6:$AE$383,17,0)</f>
        <v>18000</v>
      </c>
      <c r="S82" s="192">
        <f>VLOOKUP(B82,'Salary -Dec-2024 (Full)'!$B$6:$AE$383,18,0)</f>
        <v>0</v>
      </c>
      <c r="T82" s="192">
        <f>VLOOKUP(B82,'Salary -Dec-2024 (Full)'!$B$6:$AE$383,19,0)</f>
        <v>0</v>
      </c>
      <c r="U82" s="337">
        <f>VLOOKUP(B82,'Salary -Dec-2024 (Full)'!$B$6:$AE$383,20,0)</f>
        <v>0</v>
      </c>
      <c r="V82" s="71">
        <f t="shared" si="273"/>
        <v>18000</v>
      </c>
      <c r="W82" s="192">
        <f>VLOOKUP(B82,'Salary -Dec-2024 (Full)'!$B$6:$AE$383,22,0)</f>
        <v>0</v>
      </c>
      <c r="X82" s="192">
        <f>VLOOKUP(B82,'Salary -Dec-2024 (Full)'!$B$6:$AE$383,23,0)</f>
        <v>0</v>
      </c>
      <c r="Y82" s="337">
        <f>VLOOKUP(B82,'Salary -Dec-2024 (Full)'!$B$6:$AE$383,24,0)</f>
        <v>540</v>
      </c>
      <c r="Z82" s="192">
        <f>VLOOKUP(B82,'Salary -Dec-2024 (Full)'!$B$6:$AE$383,25,0)</f>
        <v>0</v>
      </c>
      <c r="AA82" s="192">
        <f>VLOOKUP(B82,'Salary -Dec-2024 (Full)'!$B$6:$AE$383,26,0)</f>
        <v>0</v>
      </c>
      <c r="AB82" s="377">
        <f t="shared" si="274"/>
        <v>540</v>
      </c>
      <c r="AC82" s="71">
        <f t="shared" si="275"/>
        <v>17460</v>
      </c>
      <c r="AD82" s="346" t="str">
        <f>VLOOKUP(B82,'Salary -Dec-2024 (Full)'!$B$6:$AE$383,29,0)</f>
        <v>Bank</v>
      </c>
      <c r="AE82" s="346" t="str">
        <f>VLOOKUP(B82,'Salary -Dec-2024 (Full)'!$B$6:$AE$2853,30,0)</f>
        <v>125.158.0168332</v>
      </c>
      <c r="AG82" s="61"/>
      <c r="AH82" s="183"/>
      <c r="AI82" s="319"/>
    </row>
    <row r="83" spans="1:35" s="47" customFormat="1" ht="20.25" customHeight="1">
      <c r="A83" s="339">
        <v>5</v>
      </c>
      <c r="B83" s="340" t="s">
        <v>668</v>
      </c>
      <c r="C83" s="64" t="str">
        <f>VLOOKUP(B83,'Salary -Dec-2024 (Full)'!$B$8:$AE$381,2,0)</f>
        <v>Md Masud Ahmmed</v>
      </c>
      <c r="D83" s="115" t="str">
        <f>VLOOKUP(B83,'Salary -Dec-2024 (Full)'!$B$8:$AE$381,3,0)</f>
        <v>Driver</v>
      </c>
      <c r="E83" s="65" t="str">
        <f>VLOOKUP(B83,'Salary -Dec-2024 (Full)'!$B$8:$AE$381,4,0)</f>
        <v>Transport</v>
      </c>
      <c r="F83" s="265">
        <f>VLOOKUP(B83,'Salary -Dec-2024 (Full)'!$B$8:$AE$381,5,0)</f>
        <v>45071</v>
      </c>
      <c r="G83" s="66">
        <f>VLOOKUP(B83,'Salary -Dec-2024 (Full)'!$B$8:$AE$381,6,0)</f>
        <v>31</v>
      </c>
      <c r="H83" s="67">
        <f>VLOOKUP(B83,'Salary -Dec-2024 (Full)'!$B$8:$AE$381,7,0)</f>
        <v>0</v>
      </c>
      <c r="I83" s="66">
        <f t="shared" si="266"/>
        <v>31</v>
      </c>
      <c r="J83" s="67">
        <f t="shared" si="267"/>
        <v>645.16129032258061</v>
      </c>
      <c r="K83" s="192">
        <f>VLOOKUP(B83,'Salary -Dec-2024 (Full)'!$B$6:$AE$383,10,0)</f>
        <v>20000</v>
      </c>
      <c r="L83" s="68">
        <f t="shared" si="268"/>
        <v>12000</v>
      </c>
      <c r="M83" s="68">
        <f t="shared" si="269"/>
        <v>6000</v>
      </c>
      <c r="N83" s="68">
        <f t="shared" si="270"/>
        <v>1200</v>
      </c>
      <c r="O83" s="68">
        <f t="shared" si="271"/>
        <v>800</v>
      </c>
      <c r="P83" s="69"/>
      <c r="Q83" s="70">
        <f t="shared" si="272"/>
        <v>20000</v>
      </c>
      <c r="R83" s="70">
        <f>VLOOKUP(B83,'Salary -Dec-2024 (Full)'!$B$6:$AE$383,17,0)</f>
        <v>20000</v>
      </c>
      <c r="S83" s="192">
        <f>VLOOKUP(B83,'Salary -Dec-2024 (Full)'!$B$6:$AE$383,18,0)</f>
        <v>0</v>
      </c>
      <c r="T83" s="192">
        <f>VLOOKUP(B83,'Salary -Dec-2024 (Full)'!$B$6:$AE$383,19,0)</f>
        <v>0</v>
      </c>
      <c r="U83" s="337">
        <f>VLOOKUP(B83,'Salary -Dec-2024 (Full)'!$B$6:$AE$383,20,0)</f>
        <v>0</v>
      </c>
      <c r="V83" s="71">
        <f t="shared" si="273"/>
        <v>20000</v>
      </c>
      <c r="W83" s="192">
        <f>VLOOKUP(B83,'Salary -Dec-2024 (Full)'!$B$6:$AE$383,22,0)</f>
        <v>0</v>
      </c>
      <c r="X83" s="192">
        <f>VLOOKUP(B83,'Salary -Dec-2024 (Full)'!$B$6:$AE$383,23,0)</f>
        <v>0</v>
      </c>
      <c r="Y83" s="337">
        <f>VLOOKUP(B83,'Salary -Dec-2024 (Full)'!$B$6:$AE$383,24,0)</f>
        <v>600</v>
      </c>
      <c r="Z83" s="192">
        <f>VLOOKUP(B83,'Salary -Dec-2024 (Full)'!$B$6:$AE$383,25,0)</f>
        <v>0</v>
      </c>
      <c r="AA83" s="192">
        <f>VLOOKUP(B83,'Salary -Dec-2024 (Full)'!$B$6:$AE$383,26,0)</f>
        <v>0</v>
      </c>
      <c r="AB83" s="377">
        <f t="shared" si="274"/>
        <v>600</v>
      </c>
      <c r="AC83" s="71">
        <f t="shared" si="275"/>
        <v>19400</v>
      </c>
      <c r="AD83" s="346" t="str">
        <f>VLOOKUP(B83,'Salary -Dec-2024 (Full)'!$B$6:$AE$383,29,0)</f>
        <v>Bank</v>
      </c>
      <c r="AE83" s="346" t="str">
        <f>VLOOKUP(B83,'Salary -Dec-2024 (Full)'!$B$6:$AE$2853,30,0)</f>
        <v>250.105.0059406</v>
      </c>
      <c r="AG83" s="61"/>
      <c r="AH83" s="183"/>
      <c r="AI83" s="319"/>
    </row>
    <row r="84" spans="1:35" s="47" customFormat="1" ht="20.25" customHeight="1">
      <c r="A84" s="339">
        <v>6</v>
      </c>
      <c r="B84" s="340" t="s">
        <v>698</v>
      </c>
      <c r="C84" s="64" t="str">
        <f>VLOOKUP(B84,'Salary -Dec-2024 (Full)'!$B$8:$AE$381,2,0)</f>
        <v>Md Rubel Molla</v>
      </c>
      <c r="D84" s="115" t="str">
        <f>VLOOKUP(B84,'Salary -Dec-2024 (Full)'!$B$8:$AE$381,3,0)</f>
        <v>Driver</v>
      </c>
      <c r="E84" s="65" t="str">
        <f>VLOOKUP(B84,'Salary -Dec-2024 (Full)'!$B$8:$AE$381,4,0)</f>
        <v>Transport</v>
      </c>
      <c r="F84" s="265">
        <f>VLOOKUP(B84,'Salary -Dec-2024 (Full)'!$B$8:$AE$381,5,0)</f>
        <v>45088</v>
      </c>
      <c r="G84" s="66">
        <f>VLOOKUP(B84,'Salary -Dec-2024 (Full)'!$B$8:$AE$381,6,0)</f>
        <v>31</v>
      </c>
      <c r="H84" s="67">
        <f>VLOOKUP(B84,'Salary -Dec-2024 (Full)'!$B$8:$AE$381,7,0)</f>
        <v>0</v>
      </c>
      <c r="I84" s="66">
        <f t="shared" si="266"/>
        <v>31</v>
      </c>
      <c r="J84" s="67">
        <f t="shared" si="267"/>
        <v>645.16129032258061</v>
      </c>
      <c r="K84" s="192">
        <f>VLOOKUP(B84,'Salary -Dec-2024 (Full)'!$B$6:$AE$383,10,0)</f>
        <v>20000</v>
      </c>
      <c r="L84" s="68">
        <f t="shared" si="268"/>
        <v>12000</v>
      </c>
      <c r="M84" s="68">
        <f t="shared" si="269"/>
        <v>6000</v>
      </c>
      <c r="N84" s="68">
        <f t="shared" si="270"/>
        <v>1200</v>
      </c>
      <c r="O84" s="68">
        <f t="shared" si="271"/>
        <v>800</v>
      </c>
      <c r="P84" s="69"/>
      <c r="Q84" s="70">
        <f t="shared" si="272"/>
        <v>20000</v>
      </c>
      <c r="R84" s="70">
        <f>VLOOKUP(B84,'Salary -Dec-2024 (Full)'!$B$6:$AE$383,17,0)</f>
        <v>20000</v>
      </c>
      <c r="S84" s="192">
        <f>VLOOKUP(B84,'Salary -Dec-2024 (Full)'!$B$6:$AE$383,18,0)</f>
        <v>0</v>
      </c>
      <c r="T84" s="192">
        <f>VLOOKUP(B84,'Salary -Dec-2024 (Full)'!$B$6:$AE$383,19,0)</f>
        <v>0</v>
      </c>
      <c r="U84" s="337">
        <f>VLOOKUP(B84,'Salary -Dec-2024 (Full)'!$B$6:$AE$383,20,0)</f>
        <v>0</v>
      </c>
      <c r="V84" s="71">
        <f t="shared" si="273"/>
        <v>20000</v>
      </c>
      <c r="W84" s="192">
        <f>VLOOKUP(B84,'Salary -Dec-2024 (Full)'!$B$6:$AE$383,22,0)</f>
        <v>0</v>
      </c>
      <c r="X84" s="192">
        <f>VLOOKUP(B84,'Salary -Dec-2024 (Full)'!$B$6:$AE$383,23,0)</f>
        <v>0</v>
      </c>
      <c r="Y84" s="337">
        <f>VLOOKUP(B84,'Salary -Dec-2024 (Full)'!$B$6:$AE$383,24,0)</f>
        <v>600</v>
      </c>
      <c r="Z84" s="192">
        <f>VLOOKUP(B84,'Salary -Dec-2024 (Full)'!$B$6:$AE$383,25,0)</f>
        <v>0</v>
      </c>
      <c r="AA84" s="192">
        <f>VLOOKUP(B84,'Salary -Dec-2024 (Full)'!$B$6:$AE$383,26,0)</f>
        <v>0</v>
      </c>
      <c r="AB84" s="377">
        <f t="shared" si="274"/>
        <v>600</v>
      </c>
      <c r="AC84" s="71">
        <f t="shared" si="275"/>
        <v>19400</v>
      </c>
      <c r="AD84" s="346" t="str">
        <f>VLOOKUP(B84,'Salary -Dec-2024 (Full)'!$B$6:$AE$383,29,0)</f>
        <v>Bank</v>
      </c>
      <c r="AE84" s="346" t="str">
        <f>VLOOKUP(B84,'Salary -Dec-2024 (Full)'!$B$6:$AE$2853,30,0)</f>
        <v>103.103.1357817</v>
      </c>
      <c r="AG84" s="61"/>
      <c r="AH84" s="183"/>
      <c r="AI84" s="319"/>
    </row>
    <row r="85" spans="1:35" s="47" customFormat="1" ht="20.25" customHeight="1">
      <c r="A85" s="339">
        <v>7</v>
      </c>
      <c r="B85" s="340" t="s">
        <v>1232</v>
      </c>
      <c r="C85" s="64" t="str">
        <f>VLOOKUP(B85,'Salary -Dec-2024 (Full)'!$B$8:$AE$381,2,0)</f>
        <v>Md Hazrat Ali</v>
      </c>
      <c r="D85" s="115" t="str">
        <f>VLOOKUP(B85,'Salary -Dec-2024 (Full)'!$B$8:$AE$381,3,0)</f>
        <v>Helper (Lowbed)</v>
      </c>
      <c r="E85" s="65" t="str">
        <f>VLOOKUP(B85,'Salary -Dec-2024 (Full)'!$B$8:$AE$381,4,0)</f>
        <v>Transport</v>
      </c>
      <c r="F85" s="265">
        <f>VLOOKUP(B85,'Salary -Dec-2024 (Full)'!$B$8:$AE$381,5,0)</f>
        <v>45367</v>
      </c>
      <c r="G85" s="66">
        <f>VLOOKUP(B85,'Salary -Dec-2024 (Full)'!$B$8:$AE$381,6,0)</f>
        <v>31</v>
      </c>
      <c r="H85" s="67">
        <f>VLOOKUP(B85,'Salary -Dec-2024 (Full)'!$B$8:$AE$381,7,0)</f>
        <v>0</v>
      </c>
      <c r="I85" s="66">
        <f t="shared" si="266"/>
        <v>31</v>
      </c>
      <c r="J85" s="67">
        <f t="shared" si="267"/>
        <v>322.58064516129031</v>
      </c>
      <c r="K85" s="192">
        <f>VLOOKUP(B85,'Salary -Dec-2024 (Full)'!$B$6:$AE$383,10,0)</f>
        <v>10000</v>
      </c>
      <c r="L85" s="68">
        <f t="shared" si="268"/>
        <v>6000</v>
      </c>
      <c r="M85" s="68">
        <f t="shared" si="269"/>
        <v>3000</v>
      </c>
      <c r="N85" s="68">
        <f t="shared" si="270"/>
        <v>600</v>
      </c>
      <c r="O85" s="68">
        <f t="shared" si="271"/>
        <v>400</v>
      </c>
      <c r="P85" s="69"/>
      <c r="Q85" s="70">
        <f t="shared" si="272"/>
        <v>10000</v>
      </c>
      <c r="R85" s="70">
        <f>VLOOKUP(B85,'Salary -Dec-2024 (Full)'!$B$6:$AE$383,17,0)</f>
        <v>10000</v>
      </c>
      <c r="S85" s="192">
        <f>VLOOKUP(B85,'Salary -Dec-2024 (Full)'!$B$6:$AE$383,18,0)</f>
        <v>0</v>
      </c>
      <c r="T85" s="192">
        <f>VLOOKUP(B85,'Salary -Dec-2024 (Full)'!$B$6:$AE$383,19,0)</f>
        <v>0</v>
      </c>
      <c r="U85" s="337">
        <f>VLOOKUP(B85,'Salary -Dec-2024 (Full)'!$B$6:$AE$383,20,0)</f>
        <v>0</v>
      </c>
      <c r="V85" s="71">
        <f t="shared" si="273"/>
        <v>10000</v>
      </c>
      <c r="W85" s="192">
        <f>VLOOKUP(B85,'Salary -Dec-2024 (Full)'!$B$6:$AE$383,22,0)</f>
        <v>0</v>
      </c>
      <c r="X85" s="192">
        <f>VLOOKUP(B85,'Salary -Dec-2024 (Full)'!$B$6:$AE$383,23,0)</f>
        <v>0</v>
      </c>
      <c r="Y85" s="337">
        <f>VLOOKUP(B85,'Salary -Dec-2024 (Full)'!$B$6:$AE$383,24,0)</f>
        <v>0</v>
      </c>
      <c r="Z85" s="192">
        <f>VLOOKUP(B85,'Salary -Dec-2024 (Full)'!$B$6:$AE$383,25,0)</f>
        <v>0</v>
      </c>
      <c r="AA85" s="192">
        <f>VLOOKUP(B85,'Salary -Dec-2024 (Full)'!$B$6:$AE$383,26,0)</f>
        <v>0</v>
      </c>
      <c r="AB85" s="377">
        <f t="shared" si="274"/>
        <v>0</v>
      </c>
      <c r="AC85" s="71">
        <f t="shared" si="275"/>
        <v>10000</v>
      </c>
      <c r="AD85" s="346" t="str">
        <f>VLOOKUP(B85,'Salary -Dec-2024 (Full)'!$B$6:$AE$383,29,0)</f>
        <v>Cash</v>
      </c>
      <c r="AE85" s="346">
        <f>VLOOKUP(B85,'Salary -Dec-2024 (Full)'!$B$6:$AE$2853,30,0)</f>
        <v>0</v>
      </c>
      <c r="AG85" s="61"/>
      <c r="AH85" s="183"/>
      <c r="AI85" s="319"/>
    </row>
    <row r="86" spans="1:35" s="47" customFormat="1" ht="20.25" customHeight="1">
      <c r="A86" s="339">
        <v>8</v>
      </c>
      <c r="B86" s="340" t="s">
        <v>1678</v>
      </c>
      <c r="C86" s="64" t="str">
        <f>VLOOKUP(B86,'Salary -Dec-2024 (Full)'!$B$8:$AE$381,2,0)</f>
        <v>Md Joynal Abedin</v>
      </c>
      <c r="D86" s="115" t="str">
        <f>VLOOKUP(B86,'Salary -Dec-2024 (Full)'!$B$8:$AE$381,3,0)</f>
        <v>Driver</v>
      </c>
      <c r="E86" s="65" t="str">
        <f>VLOOKUP(B86,'Salary -Dec-2024 (Full)'!$B$8:$AE$381,4,0)</f>
        <v>Transport</v>
      </c>
      <c r="F86" s="265">
        <f>VLOOKUP(B86,'Salary -Dec-2024 (Full)'!$B$8:$AE$381,5,0)</f>
        <v>45585</v>
      </c>
      <c r="G86" s="66">
        <f>VLOOKUP(B86,'Salary -Dec-2024 (Full)'!$B$8:$AE$381,6,0)</f>
        <v>31</v>
      </c>
      <c r="H86" s="67">
        <f>VLOOKUP(B86,'Salary -Dec-2024 (Full)'!$B$8:$AE$381,7,0)</f>
        <v>0</v>
      </c>
      <c r="I86" s="66">
        <f t="shared" ref="I86" si="276">G86-H86</f>
        <v>31</v>
      </c>
      <c r="J86" s="67">
        <f t="shared" ref="J86" si="277">Q86/G86</f>
        <v>612.90322580645159</v>
      </c>
      <c r="K86" s="192">
        <f>VLOOKUP(B86,'Salary -Dec-2024 (Full)'!$B$6:$AE$383,10,0)</f>
        <v>19000</v>
      </c>
      <c r="L86" s="68">
        <f t="shared" ref="L86" si="278">K86*60%</f>
        <v>11400</v>
      </c>
      <c r="M86" s="68">
        <f t="shared" ref="M86" si="279">K86*30%</f>
        <v>5700</v>
      </c>
      <c r="N86" s="68">
        <f t="shared" ref="N86" si="280">K86*6%</f>
        <v>1140</v>
      </c>
      <c r="O86" s="68">
        <f t="shared" ref="O86" si="281">K86*4%</f>
        <v>760</v>
      </c>
      <c r="P86" s="69"/>
      <c r="Q86" s="70">
        <f t="shared" ref="Q86" si="282">SUM(L86:P86)</f>
        <v>19000</v>
      </c>
      <c r="R86" s="70">
        <f>VLOOKUP(B86,'Salary -Dec-2024 (Full)'!$B$6:$AE$383,17,0)</f>
        <v>19000</v>
      </c>
      <c r="S86" s="192">
        <f>VLOOKUP(B86,'Salary -Dec-2024 (Full)'!$B$6:$AE$383,18,0)</f>
        <v>0</v>
      </c>
      <c r="T86" s="192">
        <f>VLOOKUP(B86,'Salary -Dec-2024 (Full)'!$B$6:$AE$383,19,0)</f>
        <v>0</v>
      </c>
      <c r="U86" s="337">
        <f>VLOOKUP(B86,'Salary -Dec-2024 (Full)'!$B$6:$AE$383,20,0)</f>
        <v>0</v>
      </c>
      <c r="V86" s="71">
        <f t="shared" ref="V86" si="283">SUM(R86:U86)</f>
        <v>19000</v>
      </c>
      <c r="W86" s="192">
        <f>VLOOKUP(B86,'Salary -Dec-2024 (Full)'!$B$6:$AE$383,22,0)</f>
        <v>0</v>
      </c>
      <c r="X86" s="192">
        <f>VLOOKUP(B86,'Salary -Dec-2024 (Full)'!$B$6:$AE$383,23,0)</f>
        <v>0</v>
      </c>
      <c r="Y86" s="337">
        <f>VLOOKUP(B86,'Salary -Dec-2024 (Full)'!$B$6:$AE$383,24,0)</f>
        <v>0</v>
      </c>
      <c r="Z86" s="192">
        <f>VLOOKUP(B86,'Salary -Dec-2024 (Full)'!$B$6:$AE$383,25,0)</f>
        <v>0</v>
      </c>
      <c r="AA86" s="192">
        <f>VLOOKUP(B86,'Salary -Dec-2024 (Full)'!$B$6:$AE$383,26,0)</f>
        <v>0</v>
      </c>
      <c r="AB86" s="377">
        <f t="shared" ref="AB86" si="284">SUM(W86:AA86)</f>
        <v>0</v>
      </c>
      <c r="AC86" s="71">
        <f t="shared" ref="AC86" si="285">ROUND(V86-AB86,0)</f>
        <v>19000</v>
      </c>
      <c r="AD86" s="346" t="str">
        <f>VLOOKUP(B86,'Salary -Dec-2024 (Full)'!$B$6:$AE$383,29,0)</f>
        <v>Cash</v>
      </c>
      <c r="AE86" s="346">
        <f>VLOOKUP(B86,'Salary -Dec-2024 (Full)'!$B$6:$AE$2853,30,0)</f>
        <v>0</v>
      </c>
      <c r="AG86" s="61"/>
      <c r="AH86" s="183"/>
      <c r="AI86" s="319"/>
    </row>
    <row r="87" spans="1:35" s="61" customFormat="1" ht="17.25" customHeight="1">
      <c r="A87" s="1031" t="s">
        <v>67</v>
      </c>
      <c r="B87" s="1032"/>
      <c r="C87" s="1033"/>
      <c r="D87" s="1034"/>
      <c r="E87" s="1040"/>
      <c r="F87" s="1091"/>
      <c r="G87" s="1040"/>
      <c r="H87" s="1040"/>
      <c r="I87" s="1040"/>
      <c r="J87" s="1040"/>
      <c r="K87" s="1037">
        <f>SUM(K79:K86)</f>
        <v>149500</v>
      </c>
      <c r="L87" s="1037">
        <f t="shared" ref="L87:AB87" si="286">SUM(L79:L86)</f>
        <v>89700</v>
      </c>
      <c r="M87" s="1037">
        <f t="shared" si="286"/>
        <v>44850</v>
      </c>
      <c r="N87" s="1037">
        <f t="shared" si="286"/>
        <v>8970</v>
      </c>
      <c r="O87" s="1037">
        <f t="shared" si="286"/>
        <v>5980</v>
      </c>
      <c r="P87" s="1037">
        <f t="shared" si="286"/>
        <v>0</v>
      </c>
      <c r="Q87" s="1037">
        <f t="shared" si="286"/>
        <v>149500</v>
      </c>
      <c r="R87" s="1037">
        <f t="shared" si="286"/>
        <v>149500</v>
      </c>
      <c r="S87" s="1037">
        <f t="shared" si="286"/>
        <v>0</v>
      </c>
      <c r="T87" s="1037">
        <f t="shared" si="286"/>
        <v>0</v>
      </c>
      <c r="U87" s="1037">
        <f t="shared" si="286"/>
        <v>0</v>
      </c>
      <c r="V87" s="1037">
        <f t="shared" si="286"/>
        <v>149500</v>
      </c>
      <c r="W87" s="1037">
        <f t="shared" si="286"/>
        <v>0</v>
      </c>
      <c r="X87" s="1037">
        <f t="shared" si="286"/>
        <v>0</v>
      </c>
      <c r="Y87" s="1037">
        <f t="shared" si="286"/>
        <v>3060</v>
      </c>
      <c r="Z87" s="1037">
        <f t="shared" si="286"/>
        <v>0</v>
      </c>
      <c r="AA87" s="1037">
        <f t="shared" si="286"/>
        <v>0</v>
      </c>
      <c r="AB87" s="1037">
        <f t="shared" si="286"/>
        <v>3060</v>
      </c>
      <c r="AC87" s="1037">
        <f>SUM(AC79:AC86)</f>
        <v>146440</v>
      </c>
      <c r="AD87" s="1038"/>
      <c r="AE87" s="1038"/>
      <c r="AH87" s="183"/>
      <c r="AI87" s="320"/>
    </row>
    <row r="88" spans="1:35" s="47" customFormat="1" ht="7.5" customHeight="1">
      <c r="A88" s="201"/>
      <c r="B88" s="202"/>
      <c r="C88" s="203"/>
      <c r="D88" s="204"/>
      <c r="E88" s="205"/>
      <c r="F88" s="206"/>
      <c r="G88" s="208"/>
      <c r="H88" s="207"/>
      <c r="I88" s="208"/>
      <c r="J88" s="207"/>
      <c r="K88" s="274"/>
      <c r="L88" s="274"/>
      <c r="M88" s="274"/>
      <c r="N88" s="274"/>
      <c r="O88" s="274"/>
      <c r="P88" s="39"/>
      <c r="Q88" s="275"/>
      <c r="R88" s="275"/>
      <c r="S88" s="41"/>
      <c r="T88" s="41"/>
      <c r="U88" s="42"/>
      <c r="V88" s="276"/>
      <c r="W88" s="274"/>
      <c r="X88" s="44"/>
      <c r="Y88" s="41"/>
      <c r="Z88" s="41"/>
      <c r="AA88" s="41"/>
      <c r="AB88" s="45"/>
      <c r="AC88" s="45"/>
      <c r="AD88" s="277"/>
      <c r="AE88" s="277"/>
      <c r="AI88" s="320"/>
    </row>
    <row r="89" spans="1:35" s="30" customFormat="1" ht="16.5" customHeight="1" thickBot="1">
      <c r="A89" s="1031">
        <f>COUNT(A8:A88)</f>
        <v>67</v>
      </c>
      <c r="B89" s="1032"/>
      <c r="C89" s="1033"/>
      <c r="D89" s="1034"/>
      <c r="E89" s="1040"/>
      <c r="F89" s="1036"/>
      <c r="G89" s="1036"/>
      <c r="H89" s="1036"/>
      <c r="I89" s="1036"/>
      <c r="J89" s="1036"/>
      <c r="K89" s="1058">
        <f t="shared" ref="K89:AC89" si="287">K66+K74+K87+K25+K21+K77+K9</f>
        <v>1973500</v>
      </c>
      <c r="L89" s="1058">
        <f t="shared" si="287"/>
        <v>1184100</v>
      </c>
      <c r="M89" s="1058">
        <f t="shared" si="287"/>
        <v>592050</v>
      </c>
      <c r="N89" s="1058">
        <f t="shared" si="287"/>
        <v>118410</v>
      </c>
      <c r="O89" s="1058">
        <f t="shared" si="287"/>
        <v>78940</v>
      </c>
      <c r="P89" s="1058">
        <f t="shared" si="287"/>
        <v>0</v>
      </c>
      <c r="Q89" s="1058">
        <f t="shared" si="287"/>
        <v>1973500</v>
      </c>
      <c r="R89" s="1058">
        <f t="shared" si="287"/>
        <v>1966403</v>
      </c>
      <c r="S89" s="1058">
        <f t="shared" si="287"/>
        <v>0</v>
      </c>
      <c r="T89" s="1058">
        <f t="shared" si="287"/>
        <v>0</v>
      </c>
      <c r="U89" s="1058">
        <f t="shared" si="287"/>
        <v>0</v>
      </c>
      <c r="V89" s="1058">
        <f t="shared" si="287"/>
        <v>1966403</v>
      </c>
      <c r="W89" s="1058">
        <f t="shared" si="287"/>
        <v>16200</v>
      </c>
      <c r="X89" s="1058">
        <f t="shared" si="287"/>
        <v>0</v>
      </c>
      <c r="Y89" s="1058">
        <f t="shared" si="287"/>
        <v>22815</v>
      </c>
      <c r="Z89" s="1058">
        <f t="shared" si="287"/>
        <v>32565</v>
      </c>
      <c r="AA89" s="1058">
        <f t="shared" si="287"/>
        <v>0</v>
      </c>
      <c r="AB89" s="1058">
        <f t="shared" si="287"/>
        <v>71580</v>
      </c>
      <c r="AC89" s="1058">
        <f t="shared" si="287"/>
        <v>1894823</v>
      </c>
      <c r="AD89" s="1043"/>
      <c r="AE89" s="1043"/>
      <c r="AI89" s="317"/>
    </row>
    <row r="90" spans="1:35" s="142" customFormat="1" ht="8.25" customHeight="1" thickTop="1">
      <c r="A90" s="132"/>
      <c r="B90" s="133"/>
      <c r="C90" s="134"/>
      <c r="D90" s="135"/>
      <c r="E90" s="136"/>
      <c r="F90" s="137"/>
      <c r="G90" s="138"/>
      <c r="H90" s="138"/>
      <c r="I90" s="139"/>
      <c r="J90" s="139"/>
      <c r="K90" s="139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1"/>
      <c r="AE90" s="558"/>
      <c r="AI90" s="321"/>
    </row>
    <row r="91" spans="1:35" s="130" customFormat="1" ht="20.100000000000001" customHeight="1">
      <c r="A91" s="121"/>
      <c r="B91" s="121"/>
      <c r="C91" s="122"/>
      <c r="D91" s="143"/>
      <c r="E91" s="121"/>
      <c r="F91" s="122"/>
      <c r="G91" s="124"/>
      <c r="H91" s="124"/>
      <c r="I91" s="123"/>
      <c r="J91" s="124"/>
      <c r="K91" s="124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W91" s="14"/>
      <c r="X91" s="127" t="s">
        <v>29</v>
      </c>
      <c r="Y91" s="126"/>
      <c r="Z91" s="125"/>
      <c r="AA91" s="125"/>
      <c r="AB91" s="125"/>
      <c r="AC91" s="127" t="s">
        <v>23</v>
      </c>
      <c r="AD91" s="128" t="s">
        <v>24</v>
      </c>
      <c r="AE91" s="15">
        <f>SUMIF(AD$8:AD$89,AC91,AC$8:AC$89)</f>
        <v>1820823</v>
      </c>
      <c r="AI91" s="322"/>
    </row>
    <row r="92" spans="1:35" s="130" customFormat="1" ht="20.100000000000001" customHeight="1">
      <c r="A92" s="121"/>
      <c r="B92" s="121"/>
      <c r="C92" s="122"/>
      <c r="D92" s="143"/>
      <c r="E92" s="121"/>
      <c r="F92" s="122"/>
      <c r="G92" s="124"/>
      <c r="H92" s="124"/>
      <c r="I92" s="123"/>
      <c r="J92" s="124"/>
      <c r="K92" s="124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4"/>
      <c r="W92" s="14"/>
      <c r="X92" s="125"/>
      <c r="Y92" s="126"/>
      <c r="Z92" s="125"/>
      <c r="AA92" s="125"/>
      <c r="AB92" s="125"/>
      <c r="AC92" s="127" t="s">
        <v>25</v>
      </c>
      <c r="AD92" s="128" t="s">
        <v>24</v>
      </c>
      <c r="AE92" s="15">
        <f>SUMIF(AD$8:AD$89,AC92,AC$8:AC$89)</f>
        <v>74000</v>
      </c>
      <c r="AI92" s="322"/>
    </row>
    <row r="93" spans="1:35" s="130" customFormat="1" ht="20.100000000000001" customHeight="1" thickBot="1">
      <c r="A93" s="121"/>
      <c r="B93" s="121"/>
      <c r="C93" s="122"/>
      <c r="D93" s="143"/>
      <c r="E93" s="121"/>
      <c r="F93" s="122"/>
      <c r="G93" s="124"/>
      <c r="H93" s="124"/>
      <c r="I93" s="123"/>
      <c r="J93" s="124"/>
      <c r="K93" s="124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4"/>
      <c r="W93" s="14"/>
      <c r="X93" s="125"/>
      <c r="Y93" s="126"/>
      <c r="Z93" s="125"/>
      <c r="AA93" s="125"/>
      <c r="AB93" s="125"/>
      <c r="AC93" s="127"/>
      <c r="AD93" s="128"/>
      <c r="AE93" s="144">
        <f>SUM(AE91:AE92)</f>
        <v>1894823</v>
      </c>
      <c r="AI93" s="322"/>
    </row>
    <row r="94" spans="1:35" s="130" customFormat="1" ht="13.5" customHeight="1" thickTop="1">
      <c r="A94" s="121"/>
      <c r="B94" s="121"/>
      <c r="C94" s="122"/>
      <c r="D94" s="143"/>
      <c r="E94" s="121"/>
      <c r="F94" s="122"/>
      <c r="G94" s="124"/>
      <c r="H94" s="124"/>
      <c r="I94" s="123"/>
      <c r="J94" s="124"/>
      <c r="K94" s="124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4"/>
      <c r="W94" s="14"/>
      <c r="X94" s="125"/>
      <c r="Y94" s="126"/>
      <c r="Z94" s="125"/>
      <c r="AA94" s="125"/>
      <c r="AB94" s="125"/>
      <c r="AC94" s="127"/>
      <c r="AD94" s="128"/>
      <c r="AE94" s="129"/>
      <c r="AI94" s="322"/>
    </row>
    <row r="95" spans="1:35" s="130" customFormat="1" ht="15">
      <c r="A95" s="121"/>
      <c r="B95" s="121"/>
      <c r="C95" s="122"/>
      <c r="D95" s="143"/>
      <c r="E95" s="121"/>
      <c r="F95" s="122"/>
      <c r="G95" s="124"/>
      <c r="H95" s="124"/>
      <c r="I95" s="123"/>
      <c r="J95" s="124"/>
      <c r="K95" s="124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45"/>
      <c r="AE95" s="559"/>
      <c r="AI95" s="322"/>
    </row>
    <row r="96" spans="1:35" s="130" customFormat="1" ht="19.5" customHeight="1">
      <c r="A96" s="121"/>
      <c r="B96" s="121"/>
      <c r="C96" s="122"/>
      <c r="D96" s="143"/>
      <c r="E96" s="121"/>
      <c r="F96" s="122"/>
      <c r="G96" s="124"/>
      <c r="H96" s="124"/>
      <c r="I96" s="123"/>
      <c r="J96" s="124"/>
      <c r="K96" s="124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45"/>
      <c r="AE96" s="559"/>
      <c r="AI96" s="322"/>
    </row>
    <row r="97" spans="1:35" s="130" customFormat="1" ht="26.25" customHeight="1">
      <c r="A97" s="121"/>
      <c r="B97" s="121"/>
      <c r="C97" s="122"/>
      <c r="D97" s="143"/>
      <c r="E97" s="121"/>
      <c r="F97" s="122"/>
      <c r="G97" s="124"/>
      <c r="H97" s="124"/>
      <c r="I97" s="123"/>
      <c r="J97" s="124"/>
      <c r="K97" s="124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45"/>
      <c r="AE97" s="559"/>
      <c r="AI97" s="322"/>
    </row>
    <row r="98" spans="1:35" s="130" customFormat="1" ht="19.5" customHeight="1">
      <c r="A98" s="121"/>
      <c r="B98" s="121"/>
      <c r="C98" s="122"/>
      <c r="D98" s="143"/>
      <c r="E98" s="121"/>
      <c r="F98" s="122"/>
      <c r="G98" s="124"/>
      <c r="H98" s="124"/>
      <c r="I98" s="123"/>
      <c r="J98" s="124"/>
      <c r="K98" s="124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X98" s="146"/>
      <c r="Y98" s="123"/>
      <c r="Z98" s="123"/>
      <c r="AA98" s="123"/>
      <c r="AB98" s="123"/>
      <c r="AC98" s="123"/>
      <c r="AD98" s="145"/>
      <c r="AE98" s="124"/>
      <c r="AI98" s="322"/>
    </row>
    <row r="99" spans="1:35" s="17" customFormat="1" ht="16.5">
      <c r="B99" s="18"/>
      <c r="C99" s="18"/>
      <c r="D99" s="147"/>
      <c r="E99" s="148"/>
      <c r="F99" s="18"/>
      <c r="G99" s="18"/>
      <c r="H99" s="248"/>
      <c r="I99" s="18"/>
      <c r="J99" s="18"/>
      <c r="K99" s="18"/>
      <c r="L99" s="18"/>
      <c r="M99" s="18"/>
      <c r="N99" s="18"/>
      <c r="Q99" s="18"/>
      <c r="R99" s="18"/>
      <c r="S99" s="18"/>
      <c r="T99" s="18"/>
      <c r="U99" s="18"/>
      <c r="V99" s="18"/>
      <c r="Z99" s="18"/>
      <c r="AA99" s="18"/>
      <c r="AB99" s="18"/>
      <c r="AC99" s="18"/>
      <c r="AD99" s="18"/>
      <c r="AE99" s="248"/>
      <c r="AI99" s="323"/>
    </row>
    <row r="100" spans="1:35" s="130" customFormat="1" ht="19.5" customHeight="1">
      <c r="A100" s="121"/>
      <c r="B100" s="121"/>
      <c r="C100" s="122"/>
      <c r="D100" s="143"/>
      <c r="E100" s="121"/>
      <c r="F100" s="122"/>
      <c r="G100" s="124"/>
      <c r="H100" s="124"/>
      <c r="I100" s="123"/>
      <c r="J100" s="124"/>
      <c r="K100" s="124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45"/>
      <c r="AE100" s="559"/>
      <c r="AI100" s="322"/>
    </row>
    <row r="101" spans="1:35" s="155" customFormat="1" ht="19.5" customHeight="1">
      <c r="A101" s="149"/>
      <c r="B101" s="149"/>
      <c r="C101" s="150"/>
      <c r="D101" s="151"/>
      <c r="E101" s="149"/>
      <c r="F101" s="150"/>
      <c r="G101" s="152"/>
      <c r="H101" s="152"/>
      <c r="I101" s="153"/>
      <c r="J101" s="152"/>
      <c r="K101" s="152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23"/>
      <c r="X101" s="153"/>
      <c r="Y101" s="153"/>
      <c r="Z101" s="153"/>
      <c r="AA101" s="153"/>
      <c r="AB101" s="153"/>
      <c r="AC101" s="153"/>
      <c r="AD101" s="154"/>
      <c r="AE101" s="560"/>
      <c r="AI101" s="324"/>
    </row>
    <row r="102" spans="1:35" ht="21" customHeight="1">
      <c r="V102" s="164"/>
    </row>
    <row r="103" spans="1:35" s="167" customFormat="1" ht="18">
      <c r="A103" s="166"/>
      <c r="B103" s="166"/>
      <c r="D103" s="168"/>
      <c r="E103" s="166"/>
      <c r="G103" s="169"/>
      <c r="H103" s="170"/>
      <c r="J103" s="170"/>
      <c r="K103" s="170"/>
      <c r="L103" s="171"/>
      <c r="M103" s="171"/>
      <c r="N103" s="171"/>
      <c r="O103" s="171"/>
      <c r="P103" s="171"/>
      <c r="Q103" s="172"/>
      <c r="R103" s="173"/>
      <c r="T103" s="166"/>
      <c r="V103" s="173"/>
      <c r="W103" s="174"/>
      <c r="X103" s="175"/>
      <c r="Y103" s="176"/>
      <c r="Z103" s="166"/>
      <c r="AA103" s="166"/>
      <c r="AB103" s="166"/>
      <c r="AC103" s="166"/>
      <c r="AD103" s="166"/>
      <c r="AE103" s="169"/>
      <c r="AI103" s="326"/>
    </row>
    <row r="104" spans="1:35" s="167" customFormat="1" ht="18">
      <c r="A104" s="166"/>
      <c r="B104" s="166"/>
      <c r="D104" s="168"/>
      <c r="E104" s="166"/>
      <c r="H104" s="170"/>
      <c r="J104" s="169"/>
      <c r="K104" s="169"/>
      <c r="L104" s="171"/>
      <c r="M104" s="172"/>
      <c r="O104" s="171"/>
      <c r="R104" s="173"/>
      <c r="T104" s="166"/>
      <c r="V104" s="173"/>
      <c r="W104" s="174"/>
      <c r="Z104" s="166"/>
      <c r="AA104" s="166"/>
      <c r="AB104" s="166"/>
      <c r="AC104" s="166"/>
      <c r="AD104" s="166"/>
      <c r="AE104" s="169"/>
      <c r="AI104" s="326"/>
    </row>
    <row r="105" spans="1:35" s="167" customFormat="1" ht="18">
      <c r="D105" s="168"/>
      <c r="E105" s="166"/>
      <c r="H105" s="170"/>
      <c r="J105" s="170"/>
      <c r="K105" s="170"/>
      <c r="R105" s="166"/>
      <c r="S105" s="177"/>
      <c r="T105" s="178"/>
      <c r="V105" s="173"/>
      <c r="W105" s="174"/>
      <c r="AD105" s="166"/>
      <c r="AE105" s="169"/>
      <c r="AI105" s="326"/>
    </row>
    <row r="106" spans="1:35" s="167" customFormat="1" ht="18">
      <c r="D106" s="168"/>
      <c r="E106" s="166"/>
      <c r="F106" s="179"/>
      <c r="H106" s="170"/>
      <c r="J106" s="170"/>
      <c r="K106" s="170"/>
      <c r="R106" s="166"/>
      <c r="S106" s="177"/>
      <c r="T106" s="178"/>
      <c r="V106" s="173"/>
      <c r="W106" s="174"/>
      <c r="AD106" s="166"/>
      <c r="AE106" s="169"/>
      <c r="AI106" s="326"/>
    </row>
    <row r="107" spans="1:35" s="167" customFormat="1" ht="18">
      <c r="D107" s="168"/>
      <c r="E107" s="166"/>
      <c r="H107" s="170"/>
      <c r="J107" s="170"/>
      <c r="K107" s="170"/>
      <c r="R107" s="166"/>
      <c r="V107" s="173"/>
      <c r="W107" s="174"/>
      <c r="AD107" s="166"/>
      <c r="AE107" s="169"/>
      <c r="AI107" s="326"/>
    </row>
    <row r="108" spans="1:35" ht="18">
      <c r="A108" s="167"/>
      <c r="B108" s="167"/>
      <c r="C108" s="167"/>
      <c r="F108" s="167"/>
      <c r="J108" s="170"/>
      <c r="K108" s="170"/>
      <c r="L108" s="167"/>
      <c r="M108" s="167"/>
      <c r="N108" s="167"/>
      <c r="O108" s="167"/>
      <c r="R108" s="166"/>
      <c r="AB108" s="167"/>
      <c r="AC108" s="167"/>
      <c r="AD108" s="166"/>
    </row>
    <row r="125" spans="2:2" ht="20.25">
      <c r="B125" s="180"/>
    </row>
  </sheetData>
  <mergeCells count="24">
    <mergeCell ref="Q5:Q6"/>
    <mergeCell ref="A1:AE1"/>
    <mergeCell ref="A2:AE2"/>
    <mergeCell ref="A3:AE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P5"/>
    <mergeCell ref="AD5:AD6"/>
    <mergeCell ref="AE5:AE6"/>
    <mergeCell ref="R5:R6"/>
    <mergeCell ref="S5:U5"/>
    <mergeCell ref="V5:V6"/>
    <mergeCell ref="AB5:AB6"/>
    <mergeCell ref="AC5:AC6"/>
    <mergeCell ref="W5:AA5"/>
  </mergeCells>
  <conditionalFormatting sqref="B8">
    <cfRule type="duplicateValues" dxfId="41" priority="1329"/>
  </conditionalFormatting>
  <printOptions horizontalCentered="1"/>
  <pageMargins left="0.19685039370078741" right="0" top="0.39370078740157483" bottom="0.39370078740157483" header="0" footer="0"/>
  <pageSetup paperSize="9" scale="48" fitToHeight="0" orientation="landscape" verticalDpi="1200" r:id="rId1"/>
  <headerFooter>
    <oddFooter xml:space="preserve">&amp;C                                                                                             &amp;R&amp;"-,Bold"&amp;14Page &amp;P of &amp;N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40</vt:i4>
      </vt:variant>
    </vt:vector>
  </HeadingPairs>
  <TitlesOfParts>
    <vt:vector size="63" baseType="lpstr">
      <vt:lpstr>Summary-Unit</vt:lpstr>
      <vt:lpstr>Salary -Dec-2024 (Full)</vt:lpstr>
      <vt:lpstr>Sr. GM-Tractor</vt:lpstr>
      <vt:lpstr>CEO-R&amp;D</vt:lpstr>
      <vt:lpstr>Ashfaq</vt:lpstr>
      <vt:lpstr>GM-Fin</vt:lpstr>
      <vt:lpstr>Harv</vt:lpstr>
      <vt:lpstr>Tractor</vt:lpstr>
      <vt:lpstr>Pesticide</vt:lpstr>
      <vt:lpstr>Fertilizer</vt:lpstr>
      <vt:lpstr>Seed</vt:lpstr>
      <vt:lpstr>Spare Parts</vt:lpstr>
      <vt:lpstr>AHC</vt:lpstr>
      <vt:lpstr>Forwading-360</vt:lpstr>
      <vt:lpstr>Bank Sum-360</vt:lpstr>
      <vt:lpstr>Forwading-801</vt:lpstr>
      <vt:lpstr>Bank Sum-801</vt:lpstr>
      <vt:lpstr>Forwading-6151</vt:lpstr>
      <vt:lpstr>Bank Sum-6151</vt:lpstr>
      <vt:lpstr>SQ-Tax Calculation</vt:lpstr>
      <vt:lpstr>55 Bike </vt:lpstr>
      <vt:lpstr>Lunch bill</vt:lpstr>
      <vt:lpstr>Attendance</vt:lpstr>
      <vt:lpstr>'55 Bike '!Print_Area</vt:lpstr>
      <vt:lpstr>AHC!Print_Area</vt:lpstr>
      <vt:lpstr>Ashfaq!Print_Area</vt:lpstr>
      <vt:lpstr>Attendance!Print_Area</vt:lpstr>
      <vt:lpstr>'Bank Sum-360'!Print_Area</vt:lpstr>
      <vt:lpstr>'Bank Sum-6151'!Print_Area</vt:lpstr>
      <vt:lpstr>'Bank Sum-801'!Print_Area</vt:lpstr>
      <vt:lpstr>'CEO-R&amp;D'!Print_Area</vt:lpstr>
      <vt:lpstr>Fertilizer!Print_Area</vt:lpstr>
      <vt:lpstr>'Forwading-360'!Print_Area</vt:lpstr>
      <vt:lpstr>'Forwading-6151'!Print_Area</vt:lpstr>
      <vt:lpstr>'Forwading-801'!Print_Area</vt:lpstr>
      <vt:lpstr>'GM-Fin'!Print_Area</vt:lpstr>
      <vt:lpstr>Harv!Print_Area</vt:lpstr>
      <vt:lpstr>'Lunch bill'!Print_Area</vt:lpstr>
      <vt:lpstr>Pesticide!Print_Area</vt:lpstr>
      <vt:lpstr>'Salary -Dec-2024 (Full)'!Print_Area</vt:lpstr>
      <vt:lpstr>Seed!Print_Area</vt:lpstr>
      <vt:lpstr>'Spare Parts'!Print_Area</vt:lpstr>
      <vt:lpstr>'SQ-Tax Calculation'!Print_Area</vt:lpstr>
      <vt:lpstr>'Sr. GM-Tractor'!Print_Area</vt:lpstr>
      <vt:lpstr>'Summary-Unit'!Print_Area</vt:lpstr>
      <vt:lpstr>Tractor!Print_Area</vt:lpstr>
      <vt:lpstr>'55 Bike '!Print_Titles</vt:lpstr>
      <vt:lpstr>AHC!Print_Titles</vt:lpstr>
      <vt:lpstr>Ashfaq!Print_Titles</vt:lpstr>
      <vt:lpstr>Attendance!Print_Titles</vt:lpstr>
      <vt:lpstr>'Bank Sum-360'!Print_Titles</vt:lpstr>
      <vt:lpstr>'Bank Sum-6151'!Print_Titles</vt:lpstr>
      <vt:lpstr>'Bank Sum-801'!Print_Titles</vt:lpstr>
      <vt:lpstr>'CEO-R&amp;D'!Print_Titles</vt:lpstr>
      <vt:lpstr>Fertilizer!Print_Titles</vt:lpstr>
      <vt:lpstr>'GM-Fin'!Print_Titles</vt:lpstr>
      <vt:lpstr>Harv!Print_Titles</vt:lpstr>
      <vt:lpstr>Pesticide!Print_Titles</vt:lpstr>
      <vt:lpstr>'Salary -Dec-2024 (Full)'!Print_Titles</vt:lpstr>
      <vt:lpstr>Seed!Print_Titles</vt:lpstr>
      <vt:lpstr>'Spare Parts'!Print_Titles</vt:lpstr>
      <vt:lpstr>'Sr. GM-Tractor'!Print_Titles</vt:lpstr>
      <vt:lpstr>Tractor!Print_Titles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SOMEN MONDAL</cp:lastModifiedBy>
  <cp:lastPrinted>2025-01-05T05:34:45Z</cp:lastPrinted>
  <dcterms:created xsi:type="dcterms:W3CDTF">2023-01-02T06:40:08Z</dcterms:created>
  <dcterms:modified xsi:type="dcterms:W3CDTF">2025-02-04T13:45:55Z</dcterms:modified>
</cp:coreProperties>
</file>